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4172" windowHeight="7872" activeTab="11"/>
  </bookViews>
  <sheets>
    <sheet name="สังคม" sheetId="14" r:id="rId1"/>
    <sheet name="รักษาฯ" sheetId="13" r:id="rId2"/>
    <sheet name="บริหารทั่วไป" sheetId="11" r:id="rId3"/>
    <sheet name="เข็มแข็ง" sheetId="10" r:id="rId4"/>
    <sheet name="เคหะ" sheetId="9" r:id="rId5"/>
    <sheet name="การศึกษา" sheetId="8" r:id="rId6"/>
    <sheet name="เกษตร" sheetId="7" r:id="rId7"/>
    <sheet name="ศาสนา" sheetId="6" r:id="rId8"/>
    <sheet name="พาณิชย์" sheetId="5" r:id="rId9"/>
    <sheet name="สาธารณสุข" sheetId="4" r:id="rId10"/>
    <sheet name="งบกลาง" sheetId="1" r:id="rId11"/>
    <sheet name="งบแสดงผล" sheetId="15" r:id="rId12"/>
    <sheet name="สรุปตามแผน" sheetId="17" r:id="rId13"/>
    <sheet name="Sheet1" sheetId="18" r:id="rId14"/>
  </sheets>
  <definedNames>
    <definedName name="_xlnm.Print_Area" localSheetId="5">การศึกษา!$A$1:$M$124</definedName>
    <definedName name="_xlnm.Print_Area" localSheetId="6">เกษตร!$A$1:$L$61</definedName>
    <definedName name="_xlnm.Print_Area" localSheetId="3">เข็มแข็ง!$A$1:$K$42</definedName>
    <definedName name="_xlnm.Print_Area" localSheetId="4">เคหะ!$A$1:$V$141</definedName>
    <definedName name="_xlnm.Print_Area" localSheetId="10">งบกลาง!$A$1:$K$26</definedName>
    <definedName name="_xlnm.Print_Area" localSheetId="11">งบแสดงผล!$A$1:$N$72</definedName>
    <definedName name="_xlnm.Print_Area" localSheetId="2">บริหารทั่วไป!$A$1:$L$201</definedName>
    <definedName name="_xlnm.Print_Area" localSheetId="8">พาณิชย์!$A$1:$K$24</definedName>
    <definedName name="_xlnm.Print_Area" localSheetId="1">รักษาฯ!$A$1:$L$49</definedName>
    <definedName name="_xlnm.Print_Area" localSheetId="7">ศาสนา!$A$1:$M$41</definedName>
    <definedName name="_xlnm.Print_Area" localSheetId="0">สังคม!$A$1:$K$33</definedName>
    <definedName name="_xlnm.Print_Area" localSheetId="9">สาธารณสุข!$A$1:$L$46</definedName>
  </definedNames>
  <calcPr calcId="144525"/>
</workbook>
</file>

<file path=xl/calcChain.xml><?xml version="1.0" encoding="utf-8"?>
<calcChain xmlns="http://schemas.openxmlformats.org/spreadsheetml/2006/main">
  <c r="B17" i="17" l="1"/>
  <c r="C42" i="15"/>
  <c r="C44" i="15" s="1"/>
  <c r="F35" i="11"/>
  <c r="G35" i="11" s="1"/>
  <c r="H35" i="11" s="1"/>
  <c r="F16" i="11"/>
  <c r="F24" i="11" s="1"/>
  <c r="F7" i="4"/>
  <c r="F7" i="7"/>
  <c r="F7" i="8"/>
  <c r="F7" i="9"/>
  <c r="F11" i="9" s="1"/>
  <c r="F15" i="11"/>
  <c r="D8" i="13"/>
  <c r="D41" i="11"/>
  <c r="C17" i="17"/>
  <c r="D25" i="9"/>
  <c r="F21" i="9"/>
  <c r="D20" i="15"/>
  <c r="N18" i="15"/>
  <c r="M18" i="15"/>
  <c r="K18" i="15"/>
  <c r="K30" i="15" s="1"/>
  <c r="J18" i="15"/>
  <c r="I18" i="15"/>
  <c r="H18" i="15"/>
  <c r="G18" i="15"/>
  <c r="F18" i="15"/>
  <c r="E18" i="15"/>
  <c r="I95" i="11"/>
  <c r="J22" i="4"/>
  <c r="M25" i="9"/>
  <c r="I25" i="9" s="1"/>
  <c r="L12" i="15"/>
  <c r="L18" i="15" s="1"/>
  <c r="J14" i="5"/>
  <c r="J17" i="5" s="1"/>
  <c r="I14" i="5"/>
  <c r="J41" i="11"/>
  <c r="J59" i="11" s="1"/>
  <c r="J17" i="1"/>
  <c r="C11" i="15"/>
  <c r="C18" i="15" s="1"/>
  <c r="C30" i="15" s="1"/>
  <c r="I32" i="8"/>
  <c r="J28" i="9"/>
  <c r="K59" i="11"/>
  <c r="J18" i="10"/>
  <c r="K30" i="7"/>
  <c r="J30" i="7"/>
  <c r="J7" i="5"/>
  <c r="I7" i="5" s="1"/>
  <c r="I10" i="5" s="1"/>
  <c r="I21" i="9"/>
  <c r="D12" i="15"/>
  <c r="D18" i="15" s="1"/>
  <c r="K69" i="11"/>
  <c r="I61" i="11"/>
  <c r="I68" i="11"/>
  <c r="J69" i="11"/>
  <c r="I35" i="8"/>
  <c r="I41" i="8" s="1"/>
  <c r="J34" i="4"/>
  <c r="I34" i="4"/>
  <c r="I30" i="9"/>
  <c r="J37" i="7"/>
  <c r="I28" i="7"/>
  <c r="I41" i="7"/>
  <c r="I42" i="7"/>
  <c r="I48" i="7"/>
  <c r="I47" i="7"/>
  <c r="I16" i="7"/>
  <c r="I66" i="8"/>
  <c r="K76" i="11"/>
  <c r="J76" i="11"/>
  <c r="G76" i="11"/>
  <c r="D29" i="11"/>
  <c r="D37" i="11" s="1"/>
  <c r="J18" i="1"/>
  <c r="I29" i="11"/>
  <c r="I30" i="11"/>
  <c r="J19" i="6"/>
  <c r="G7" i="6"/>
  <c r="F19" i="4"/>
  <c r="H11" i="1"/>
  <c r="H10" i="1"/>
  <c r="I17" i="1"/>
  <c r="I15" i="1"/>
  <c r="I14" i="1"/>
  <c r="I13" i="1"/>
  <c r="I12" i="1"/>
  <c r="H12" i="1" s="1"/>
  <c r="I11" i="1"/>
  <c r="I10" i="1"/>
  <c r="I9" i="1"/>
  <c r="I8" i="1"/>
  <c r="I7" i="1"/>
  <c r="K18" i="6"/>
  <c r="J18" i="6"/>
  <c r="G18" i="6"/>
  <c r="K11" i="6"/>
  <c r="K19" i="6" s="1"/>
  <c r="J11" i="6"/>
  <c r="H14" i="6"/>
  <c r="H10" i="6"/>
  <c r="H9" i="6"/>
  <c r="I14" i="6"/>
  <c r="I17" i="6"/>
  <c r="I16" i="6"/>
  <c r="H16" i="6" s="1"/>
  <c r="I15" i="6"/>
  <c r="I10" i="6"/>
  <c r="I9" i="6"/>
  <c r="I8" i="6"/>
  <c r="I11" i="6" s="1"/>
  <c r="K25" i="10"/>
  <c r="J25" i="10"/>
  <c r="J26" i="10" s="1"/>
  <c r="I25" i="10"/>
  <c r="K18" i="10"/>
  <c r="K26" i="10" s="1"/>
  <c r="H11" i="10"/>
  <c r="H10" i="10"/>
  <c r="I24" i="10"/>
  <c r="I23" i="10"/>
  <c r="I22" i="10"/>
  <c r="I17" i="10"/>
  <c r="I16" i="10"/>
  <c r="I15" i="10"/>
  <c r="I14" i="10"/>
  <c r="I13" i="10"/>
  <c r="I12" i="10"/>
  <c r="I11" i="10"/>
  <c r="I10" i="10"/>
  <c r="I9" i="10"/>
  <c r="I8" i="10"/>
  <c r="I18" i="10" s="1"/>
  <c r="I26" i="10" s="1"/>
  <c r="H106" i="11"/>
  <c r="H91" i="11"/>
  <c r="H88" i="11"/>
  <c r="H87" i="11"/>
  <c r="H83" i="11"/>
  <c r="H75" i="11"/>
  <c r="H67" i="11"/>
  <c r="H65" i="11"/>
  <c r="H64" i="11"/>
  <c r="H51" i="11"/>
  <c r="H50" i="11"/>
  <c r="H28" i="11"/>
  <c r="H23" i="11"/>
  <c r="H15" i="11"/>
  <c r="H14" i="11"/>
  <c r="H11" i="11"/>
  <c r="I100" i="11"/>
  <c r="I97" i="11"/>
  <c r="H97" i="11" s="1"/>
  <c r="H98" i="11" s="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5" i="11"/>
  <c r="I74" i="11"/>
  <c r="I73" i="11"/>
  <c r="I76" i="11" s="1"/>
  <c r="I72" i="11"/>
  <c r="I71" i="11"/>
  <c r="I67" i="11"/>
  <c r="I66" i="11"/>
  <c r="I65" i="11"/>
  <c r="I64" i="11"/>
  <c r="I63" i="11"/>
  <c r="I62" i="11"/>
  <c r="I58" i="11"/>
  <c r="I57" i="11"/>
  <c r="I56" i="11"/>
  <c r="I53" i="11"/>
  <c r="I52" i="11"/>
  <c r="I51" i="11"/>
  <c r="I50" i="11"/>
  <c r="I49" i="11"/>
  <c r="I48" i="11"/>
  <c r="I47" i="11"/>
  <c r="I46" i="11"/>
  <c r="I45" i="11"/>
  <c r="I44" i="11"/>
  <c r="I43" i="11"/>
  <c r="H43" i="11" s="1"/>
  <c r="I42" i="11"/>
  <c r="I40" i="11"/>
  <c r="I39" i="11"/>
  <c r="I36" i="11"/>
  <c r="I35" i="11"/>
  <c r="I34" i="11"/>
  <c r="I33" i="11"/>
  <c r="I32" i="11"/>
  <c r="I31" i="11"/>
  <c r="I28" i="11"/>
  <c r="I37" i="11" s="1"/>
  <c r="I23" i="11"/>
  <c r="I22" i="11"/>
  <c r="I21" i="11"/>
  <c r="I20" i="11"/>
  <c r="I19" i="11"/>
  <c r="I18" i="11"/>
  <c r="I17" i="11"/>
  <c r="I16" i="11"/>
  <c r="I15" i="11"/>
  <c r="I14" i="11"/>
  <c r="I11" i="11"/>
  <c r="I10" i="11"/>
  <c r="I9" i="11"/>
  <c r="I8" i="11"/>
  <c r="I7" i="11"/>
  <c r="H7" i="11" s="1"/>
  <c r="K15" i="13"/>
  <c r="J15" i="13"/>
  <c r="J11" i="13"/>
  <c r="I36" i="13"/>
  <c r="I33" i="13"/>
  <c r="I32" i="13"/>
  <c r="I31" i="13"/>
  <c r="I30" i="13"/>
  <c r="I34" i="13" s="1"/>
  <c r="I27" i="13"/>
  <c r="I23" i="13"/>
  <c r="I22" i="13"/>
  <c r="I24" i="13" s="1"/>
  <c r="I19" i="13"/>
  <c r="I18" i="13"/>
  <c r="I17" i="13"/>
  <c r="I20" i="13" s="1"/>
  <c r="I14" i="13"/>
  <c r="I13" i="13"/>
  <c r="I15" i="13" s="1"/>
  <c r="I10" i="13"/>
  <c r="I8" i="13"/>
  <c r="K34" i="13"/>
  <c r="J34" i="13"/>
  <c r="K20" i="13"/>
  <c r="J13" i="14"/>
  <c r="J10" i="14"/>
  <c r="I8" i="14"/>
  <c r="I12" i="14"/>
  <c r="I9" i="14"/>
  <c r="L83" i="9"/>
  <c r="M82" i="9"/>
  <c r="L82" i="9"/>
  <c r="K82" i="9"/>
  <c r="J82" i="9"/>
  <c r="M64" i="9"/>
  <c r="L64" i="9"/>
  <c r="K64" i="9"/>
  <c r="J64" i="9"/>
  <c r="M51" i="9"/>
  <c r="L51" i="9"/>
  <c r="K51" i="9"/>
  <c r="J51" i="9"/>
  <c r="M32" i="9"/>
  <c r="L32" i="9"/>
  <c r="K32" i="9"/>
  <c r="J32" i="9"/>
  <c r="L28" i="9"/>
  <c r="K28" i="9"/>
  <c r="M17" i="9"/>
  <c r="L17" i="9"/>
  <c r="K17" i="9"/>
  <c r="J17" i="9"/>
  <c r="M11" i="9"/>
  <c r="L11" i="9"/>
  <c r="K11" i="9"/>
  <c r="J11" i="9"/>
  <c r="H30" i="9"/>
  <c r="H77" i="9"/>
  <c r="H69" i="9"/>
  <c r="H68" i="9"/>
  <c r="H45" i="9"/>
  <c r="H43" i="9"/>
  <c r="H23" i="9"/>
  <c r="H14" i="9"/>
  <c r="I81" i="9"/>
  <c r="I80" i="9"/>
  <c r="H80" i="9" s="1"/>
  <c r="I79" i="9"/>
  <c r="I78" i="9"/>
  <c r="I77" i="9"/>
  <c r="I76" i="9"/>
  <c r="I75" i="9"/>
  <c r="I74" i="9"/>
  <c r="I73" i="9"/>
  <c r="H73" i="9" s="1"/>
  <c r="I72" i="9"/>
  <c r="I71" i="9"/>
  <c r="I82" i="9" s="1"/>
  <c r="I70" i="9"/>
  <c r="I69" i="9"/>
  <c r="I68" i="9"/>
  <c r="I63" i="9"/>
  <c r="I56" i="9"/>
  <c r="I55" i="9"/>
  <c r="H55" i="9" s="1"/>
  <c r="I54" i="9"/>
  <c r="I53" i="9"/>
  <c r="I64" i="9" s="1"/>
  <c r="I49" i="9"/>
  <c r="I47" i="9"/>
  <c r="I45" i="9"/>
  <c r="I43" i="9"/>
  <c r="I41" i="9"/>
  <c r="I39" i="9"/>
  <c r="I37" i="9"/>
  <c r="I51" i="9" s="1"/>
  <c r="I31" i="9"/>
  <c r="I32" i="9" s="1"/>
  <c r="I27" i="9"/>
  <c r="I26" i="9"/>
  <c r="I24" i="9"/>
  <c r="I23" i="9"/>
  <c r="I22" i="9"/>
  <c r="H22" i="9" s="1"/>
  <c r="I20" i="9"/>
  <c r="I19" i="9"/>
  <c r="I28" i="9" s="1"/>
  <c r="I16" i="9"/>
  <c r="I15" i="9"/>
  <c r="I14" i="9"/>
  <c r="I13" i="9"/>
  <c r="I17" i="9" s="1"/>
  <c r="I10" i="9"/>
  <c r="I9" i="9"/>
  <c r="I8" i="9"/>
  <c r="H8" i="9" s="1"/>
  <c r="I7" i="9"/>
  <c r="I11" i="9" s="1"/>
  <c r="J23" i="5"/>
  <c r="J20" i="5"/>
  <c r="I20" i="5"/>
  <c r="J10" i="5"/>
  <c r="J24" i="5" s="1"/>
  <c r="H16" i="5"/>
  <c r="I22" i="5"/>
  <c r="I23" i="5" s="1"/>
  <c r="I19" i="5"/>
  <c r="I12" i="5"/>
  <c r="I16" i="5"/>
  <c r="I15" i="5"/>
  <c r="I13" i="5"/>
  <c r="I9" i="5"/>
  <c r="I8" i="5"/>
  <c r="I45" i="8"/>
  <c r="I44" i="8"/>
  <c r="K53" i="8"/>
  <c r="L66" i="8"/>
  <c r="K66" i="8"/>
  <c r="J66" i="8"/>
  <c r="L63" i="8"/>
  <c r="K63" i="8"/>
  <c r="J63" i="8"/>
  <c r="L53" i="8"/>
  <c r="J53" i="8"/>
  <c r="L46" i="8"/>
  <c r="K46" i="8"/>
  <c r="J46" i="8"/>
  <c r="L41" i="8"/>
  <c r="K41" i="8"/>
  <c r="J41" i="8"/>
  <c r="J33" i="8"/>
  <c r="L33" i="8"/>
  <c r="K33" i="8"/>
  <c r="J16" i="8"/>
  <c r="I16" i="8"/>
  <c r="L16" i="8"/>
  <c r="K16" i="8"/>
  <c r="L11" i="8"/>
  <c r="K11" i="8"/>
  <c r="J11" i="8"/>
  <c r="H65" i="8"/>
  <c r="H66" i="8" s="1"/>
  <c r="H62" i="8"/>
  <c r="H39" i="8"/>
  <c r="H38" i="8"/>
  <c r="H37" i="8"/>
  <c r="H15" i="8"/>
  <c r="H13" i="8"/>
  <c r="I58" i="8"/>
  <c r="I57" i="8"/>
  <c r="I52" i="8"/>
  <c r="H52" i="8" s="1"/>
  <c r="I51" i="8"/>
  <c r="H51" i="8" s="1"/>
  <c r="I50" i="8"/>
  <c r="I53" i="8" s="1"/>
  <c r="I49" i="8"/>
  <c r="I43" i="8"/>
  <c r="I46" i="8" s="1"/>
  <c r="I65" i="8"/>
  <c r="I62" i="8"/>
  <c r="I61" i="8"/>
  <c r="I60" i="8"/>
  <c r="I59" i="8"/>
  <c r="I40" i="8"/>
  <c r="I39" i="8"/>
  <c r="I38" i="8"/>
  <c r="I37" i="8"/>
  <c r="I36" i="8"/>
  <c r="I31" i="8"/>
  <c r="I30" i="8"/>
  <c r="H30" i="8" s="1"/>
  <c r="I29" i="8"/>
  <c r="I28" i="8"/>
  <c r="I22" i="8"/>
  <c r="I21" i="8"/>
  <c r="I20" i="8"/>
  <c r="I19" i="8"/>
  <c r="H19" i="8" s="1"/>
  <c r="I25" i="8"/>
  <c r="H25" i="8" s="1"/>
  <c r="I24" i="8"/>
  <c r="I23" i="8"/>
  <c r="I18" i="8"/>
  <c r="I33" i="8" s="1"/>
  <c r="I13" i="8"/>
  <c r="I14" i="8"/>
  <c r="I10" i="8"/>
  <c r="I9" i="8"/>
  <c r="I8" i="8"/>
  <c r="I7" i="8"/>
  <c r="J45" i="4"/>
  <c r="J41" i="4"/>
  <c r="K34" i="4"/>
  <c r="J28" i="4"/>
  <c r="J16" i="4"/>
  <c r="J11" i="4"/>
  <c r="K45" i="4"/>
  <c r="K41" i="4"/>
  <c r="K28" i="4"/>
  <c r="K16" i="4"/>
  <c r="K11" i="4"/>
  <c r="K46" i="4" s="1"/>
  <c r="G11" i="4"/>
  <c r="H44" i="4"/>
  <c r="H33" i="4"/>
  <c r="H21" i="4"/>
  <c r="I44" i="4"/>
  <c r="I43" i="4"/>
  <c r="I45" i="4" s="1"/>
  <c r="I40" i="4"/>
  <c r="I39" i="4"/>
  <c r="I38" i="4"/>
  <c r="I41" i="4" s="1"/>
  <c r="I33" i="4"/>
  <c r="I32" i="4"/>
  <c r="I31" i="4"/>
  <c r="I30" i="4"/>
  <c r="I27" i="4"/>
  <c r="I26" i="4"/>
  <c r="I25" i="4"/>
  <c r="I24" i="4"/>
  <c r="I23" i="4"/>
  <c r="I22" i="4"/>
  <c r="I20" i="4"/>
  <c r="I19" i="4"/>
  <c r="I18" i="4"/>
  <c r="I14" i="4"/>
  <c r="I16" i="4" s="1"/>
  <c r="I10" i="4"/>
  <c r="H10" i="4" s="1"/>
  <c r="I9" i="4"/>
  <c r="I8" i="4"/>
  <c r="I7" i="4"/>
  <c r="G19" i="4"/>
  <c r="K49" i="7"/>
  <c r="J49" i="7"/>
  <c r="K45" i="7"/>
  <c r="J45" i="7"/>
  <c r="K37" i="7"/>
  <c r="K16" i="7"/>
  <c r="J16" i="7"/>
  <c r="K11" i="7"/>
  <c r="J11" i="7"/>
  <c r="H44" i="7"/>
  <c r="H43" i="7"/>
  <c r="H42" i="7"/>
  <c r="H28" i="7"/>
  <c r="H27" i="7"/>
  <c r="H29" i="7"/>
  <c r="H23" i="7"/>
  <c r="H20" i="7"/>
  <c r="H10" i="7"/>
  <c r="I14" i="7"/>
  <c r="I44" i="7"/>
  <c r="I40" i="7"/>
  <c r="I39" i="7"/>
  <c r="I36" i="7"/>
  <c r="H36" i="7" s="1"/>
  <c r="I35" i="7"/>
  <c r="I34" i="7"/>
  <c r="I27" i="7"/>
  <c r="I26" i="7"/>
  <c r="I22" i="7"/>
  <c r="I21" i="7"/>
  <c r="I30" i="7" s="1"/>
  <c r="I15" i="7"/>
  <c r="I10" i="7"/>
  <c r="I9" i="7"/>
  <c r="H9" i="7" s="1"/>
  <c r="I8" i="7"/>
  <c r="H8" i="7" s="1"/>
  <c r="I7" i="7"/>
  <c r="N29" i="15"/>
  <c r="M29" i="15"/>
  <c r="L29" i="15"/>
  <c r="K29" i="15"/>
  <c r="J29" i="15"/>
  <c r="I29" i="15"/>
  <c r="H29" i="15"/>
  <c r="G29" i="15"/>
  <c r="F29" i="15"/>
  <c r="E29" i="15"/>
  <c r="D29" i="15"/>
  <c r="C29" i="15"/>
  <c r="B42" i="15"/>
  <c r="B18" i="15"/>
  <c r="F28" i="9"/>
  <c r="D18" i="1"/>
  <c r="B18" i="1"/>
  <c r="G7" i="1"/>
  <c r="G17" i="1"/>
  <c r="G16" i="1"/>
  <c r="G15" i="1"/>
  <c r="H15" i="1" s="1"/>
  <c r="G14" i="1"/>
  <c r="H14" i="1" s="1"/>
  <c r="G13" i="1"/>
  <c r="H13" i="1" s="1"/>
  <c r="G12" i="1"/>
  <c r="G11" i="1"/>
  <c r="G10" i="1"/>
  <c r="G9" i="1"/>
  <c r="H9" i="1" s="1"/>
  <c r="G8" i="1"/>
  <c r="B46" i="4"/>
  <c r="F45" i="4"/>
  <c r="D45" i="4"/>
  <c r="B45" i="4"/>
  <c r="F41" i="4"/>
  <c r="D41" i="4"/>
  <c r="B41" i="4"/>
  <c r="F34" i="4"/>
  <c r="D34" i="4"/>
  <c r="D46" i="4" s="1"/>
  <c r="B34" i="4"/>
  <c r="D28" i="4"/>
  <c r="B28" i="4"/>
  <c r="F16" i="4"/>
  <c r="D16" i="4"/>
  <c r="B16" i="4"/>
  <c r="F11" i="4"/>
  <c r="D11" i="4"/>
  <c r="B11" i="4"/>
  <c r="G44" i="4"/>
  <c r="G45" i="4" s="1"/>
  <c r="G43" i="4"/>
  <c r="H43" i="4" s="1"/>
  <c r="G40" i="4"/>
  <c r="G39" i="4"/>
  <c r="G38" i="4"/>
  <c r="G33" i="4"/>
  <c r="G32" i="4"/>
  <c r="H32" i="4" s="1"/>
  <c r="G30" i="4"/>
  <c r="G27" i="4"/>
  <c r="H27" i="4" s="1"/>
  <c r="G26" i="4"/>
  <c r="G25" i="4"/>
  <c r="G24" i="4"/>
  <c r="G22" i="4"/>
  <c r="G21" i="4"/>
  <c r="G18" i="4"/>
  <c r="H18" i="4" s="1"/>
  <c r="G15" i="4"/>
  <c r="H15" i="4" s="1"/>
  <c r="G14" i="4"/>
  <c r="G13" i="4"/>
  <c r="G10" i="4"/>
  <c r="G9" i="4"/>
  <c r="G8" i="4"/>
  <c r="H8" i="4" s="1"/>
  <c r="G7" i="4"/>
  <c r="H7" i="4" s="1"/>
  <c r="G11" i="10"/>
  <c r="F23" i="4"/>
  <c r="G23" i="4" s="1"/>
  <c r="F23" i="5"/>
  <c r="D23" i="5"/>
  <c r="F20" i="5"/>
  <c r="D20" i="5"/>
  <c r="B20" i="5"/>
  <c r="F17" i="5"/>
  <c r="D17" i="5"/>
  <c r="B17" i="5"/>
  <c r="F10" i="5"/>
  <c r="B10" i="5"/>
  <c r="B24" i="5" s="1"/>
  <c r="G7" i="5"/>
  <c r="G22" i="5"/>
  <c r="H22" i="5" s="1"/>
  <c r="H23" i="5" s="1"/>
  <c r="G19" i="5"/>
  <c r="H19" i="5" s="1"/>
  <c r="H20" i="5" s="1"/>
  <c r="G16" i="5"/>
  <c r="G15" i="5"/>
  <c r="H15" i="5" s="1"/>
  <c r="G14" i="5"/>
  <c r="G13" i="5"/>
  <c r="G12" i="5"/>
  <c r="G17" i="5" s="1"/>
  <c r="G9" i="5"/>
  <c r="H9" i="5" s="1"/>
  <c r="G8" i="5"/>
  <c r="H8" i="5" s="1"/>
  <c r="F18" i="6"/>
  <c r="D18" i="6"/>
  <c r="B18" i="6"/>
  <c r="F11" i="6"/>
  <c r="F19" i="6" s="1"/>
  <c r="D11" i="6"/>
  <c r="D19" i="6" s="1"/>
  <c r="B11" i="6"/>
  <c r="B19" i="6" s="1"/>
  <c r="G17" i="6"/>
  <c r="H17" i="6" s="1"/>
  <c r="G16" i="6"/>
  <c r="G15" i="6"/>
  <c r="H15" i="6" s="1"/>
  <c r="H18" i="6" s="1"/>
  <c r="G14" i="6"/>
  <c r="G10" i="6"/>
  <c r="G8" i="6"/>
  <c r="G11" i="6" s="1"/>
  <c r="G19" i="6" s="1"/>
  <c r="G49" i="7"/>
  <c r="F49" i="7"/>
  <c r="D49" i="7"/>
  <c r="F45" i="7"/>
  <c r="D45" i="7"/>
  <c r="B45" i="7"/>
  <c r="D37" i="7"/>
  <c r="B37" i="7"/>
  <c r="F37" i="7"/>
  <c r="F30" i="7"/>
  <c r="D30" i="7"/>
  <c r="B30" i="7"/>
  <c r="F16" i="7"/>
  <c r="B16" i="7"/>
  <c r="F11" i="7"/>
  <c r="B11" i="7"/>
  <c r="B50" i="7" s="1"/>
  <c r="D16" i="7"/>
  <c r="D11" i="7"/>
  <c r="G10" i="7"/>
  <c r="G48" i="7"/>
  <c r="G47" i="7"/>
  <c r="H47" i="7" s="1"/>
  <c r="G44" i="7"/>
  <c r="G43" i="7"/>
  <c r="G42" i="7"/>
  <c r="G41" i="7"/>
  <c r="H41" i="7" s="1"/>
  <c r="G40" i="7"/>
  <c r="H40" i="7" s="1"/>
  <c r="G39" i="7"/>
  <c r="G36" i="7"/>
  <c r="G35" i="7"/>
  <c r="G34" i="7"/>
  <c r="G37" i="7" s="1"/>
  <c r="G28" i="7"/>
  <c r="G26" i="7"/>
  <c r="H26" i="7" s="1"/>
  <c r="G25" i="7"/>
  <c r="H25" i="7" s="1"/>
  <c r="G24" i="7"/>
  <c r="H24" i="7" s="1"/>
  <c r="G23" i="7"/>
  <c r="G21" i="7"/>
  <c r="H21" i="7" s="1"/>
  <c r="G20" i="7"/>
  <c r="G19" i="7"/>
  <c r="H19" i="7" s="1"/>
  <c r="G18" i="7"/>
  <c r="H18" i="7" s="1"/>
  <c r="G15" i="7"/>
  <c r="H15" i="7" s="1"/>
  <c r="G14" i="7"/>
  <c r="H14" i="7" s="1"/>
  <c r="G13" i="7"/>
  <c r="H13" i="7" s="1"/>
  <c r="H16" i="7" s="1"/>
  <c r="G9" i="7"/>
  <c r="G8" i="7"/>
  <c r="G66" i="8"/>
  <c r="F66" i="8"/>
  <c r="D66" i="8"/>
  <c r="B67" i="8"/>
  <c r="F63" i="8"/>
  <c r="D63" i="8"/>
  <c r="B63" i="8"/>
  <c r="D53" i="8"/>
  <c r="B53" i="8"/>
  <c r="F46" i="8"/>
  <c r="D46" i="8"/>
  <c r="B46" i="8"/>
  <c r="F41" i="8"/>
  <c r="D41" i="8"/>
  <c r="B41" i="8"/>
  <c r="F33" i="8"/>
  <c r="B33" i="8"/>
  <c r="F16" i="8"/>
  <c r="D16" i="8"/>
  <c r="B16" i="8"/>
  <c r="D11" i="8"/>
  <c r="B11" i="8"/>
  <c r="G8" i="8"/>
  <c r="G7" i="8"/>
  <c r="G65" i="8"/>
  <c r="G62" i="8"/>
  <c r="G61" i="8"/>
  <c r="H61" i="8" s="1"/>
  <c r="G60" i="8"/>
  <c r="G59" i="8"/>
  <c r="G58" i="8"/>
  <c r="H58" i="8" s="1"/>
  <c r="G57" i="8"/>
  <c r="G52" i="8"/>
  <c r="G51" i="8"/>
  <c r="G49" i="8"/>
  <c r="G45" i="8"/>
  <c r="H45" i="8" s="1"/>
  <c r="G44" i="8"/>
  <c r="H44" i="8" s="1"/>
  <c r="G43" i="8"/>
  <c r="G40" i="8"/>
  <c r="H40" i="8" s="1"/>
  <c r="G39" i="8"/>
  <c r="G38" i="8"/>
  <c r="G37" i="8"/>
  <c r="G36" i="8"/>
  <c r="H36" i="8" s="1"/>
  <c r="G35" i="8"/>
  <c r="G41" i="8" s="1"/>
  <c r="G32" i="8"/>
  <c r="G31" i="8"/>
  <c r="G30" i="8"/>
  <c r="G29" i="8"/>
  <c r="G28" i="8"/>
  <c r="H28" i="8" s="1"/>
  <c r="G25" i="8"/>
  <c r="G24" i="8"/>
  <c r="H24" i="8" s="1"/>
  <c r="G23" i="8"/>
  <c r="G22" i="8"/>
  <c r="G20" i="8"/>
  <c r="G19" i="8"/>
  <c r="G18" i="8"/>
  <c r="G15" i="8"/>
  <c r="G14" i="8"/>
  <c r="H14" i="8" s="1"/>
  <c r="G13" i="8"/>
  <c r="G10" i="8"/>
  <c r="H10" i="8" s="1"/>
  <c r="G9" i="8"/>
  <c r="H9" i="8" s="1"/>
  <c r="G31" i="9"/>
  <c r="G30" i="9"/>
  <c r="G27" i="9"/>
  <c r="H27" i="9" s="1"/>
  <c r="B32" i="9"/>
  <c r="D28" i="9"/>
  <c r="D83" i="9" s="1"/>
  <c r="B28" i="9"/>
  <c r="F17" i="9"/>
  <c r="B17" i="9"/>
  <c r="D11" i="9"/>
  <c r="B11" i="9"/>
  <c r="F82" i="9"/>
  <c r="D82" i="9"/>
  <c r="B82" i="9"/>
  <c r="F64" i="9"/>
  <c r="D64" i="9"/>
  <c r="B64" i="9"/>
  <c r="F51" i="9"/>
  <c r="D51" i="9"/>
  <c r="B51" i="9"/>
  <c r="G32" i="9"/>
  <c r="F32" i="9"/>
  <c r="D32" i="9"/>
  <c r="D17" i="9"/>
  <c r="G7" i="9"/>
  <c r="G80" i="9"/>
  <c r="G79" i="9"/>
  <c r="H79" i="9" s="1"/>
  <c r="G81" i="9"/>
  <c r="H81" i="9" s="1"/>
  <c r="G78" i="9"/>
  <c r="G77" i="9"/>
  <c r="G76" i="9"/>
  <c r="H76" i="9" s="1"/>
  <c r="G75" i="9"/>
  <c r="H75" i="9" s="1"/>
  <c r="G74" i="9"/>
  <c r="H74" i="9" s="1"/>
  <c r="G73" i="9"/>
  <c r="G72" i="9"/>
  <c r="H72" i="9" s="1"/>
  <c r="G71" i="9"/>
  <c r="H71" i="9" s="1"/>
  <c r="G70" i="9"/>
  <c r="G69" i="9"/>
  <c r="G68" i="9"/>
  <c r="G63" i="9"/>
  <c r="H63" i="9" s="1"/>
  <c r="G56" i="9"/>
  <c r="H56" i="9" s="1"/>
  <c r="G55" i="9"/>
  <c r="G54" i="9"/>
  <c r="H54" i="9" s="1"/>
  <c r="G53" i="9"/>
  <c r="G49" i="9"/>
  <c r="H49" i="9" s="1"/>
  <c r="G47" i="9"/>
  <c r="H47" i="9" s="1"/>
  <c r="G45" i="9"/>
  <c r="G43" i="9"/>
  <c r="G41" i="9"/>
  <c r="H41" i="9" s="1"/>
  <c r="G39" i="9"/>
  <c r="H39" i="9" s="1"/>
  <c r="G37" i="9"/>
  <c r="G26" i="9"/>
  <c r="G25" i="9"/>
  <c r="G24" i="9"/>
  <c r="G23" i="9"/>
  <c r="G22" i="9"/>
  <c r="G21" i="9"/>
  <c r="G20" i="9"/>
  <c r="H20" i="9" s="1"/>
  <c r="G19" i="9"/>
  <c r="G16" i="9"/>
  <c r="H16" i="9" s="1"/>
  <c r="G15" i="9"/>
  <c r="G17" i="9" s="1"/>
  <c r="G14" i="9"/>
  <c r="G13" i="9"/>
  <c r="H13" i="9" s="1"/>
  <c r="G9" i="9"/>
  <c r="H9" i="9" s="1"/>
  <c r="G8" i="9"/>
  <c r="D26" i="10"/>
  <c r="B26" i="10"/>
  <c r="F18" i="10"/>
  <c r="F26" i="10" s="1"/>
  <c r="D18" i="10"/>
  <c r="F25" i="10"/>
  <c r="D25" i="10"/>
  <c r="B25" i="10"/>
  <c r="B18" i="10"/>
  <c r="G24" i="10"/>
  <c r="H24" i="10" s="1"/>
  <c r="G23" i="10"/>
  <c r="H23" i="10" s="1"/>
  <c r="G22" i="10"/>
  <c r="G25" i="10" s="1"/>
  <c r="G17" i="10"/>
  <c r="H17" i="10" s="1"/>
  <c r="G16" i="10"/>
  <c r="G15" i="10"/>
  <c r="H15" i="10" s="1"/>
  <c r="G14" i="10"/>
  <c r="H14" i="10" s="1"/>
  <c r="G12" i="10"/>
  <c r="H12" i="10" s="1"/>
  <c r="G10" i="10"/>
  <c r="G9" i="10"/>
  <c r="H9" i="10" s="1"/>
  <c r="G8" i="10"/>
  <c r="H8" i="10" s="1"/>
  <c r="F34" i="13"/>
  <c r="D34" i="13"/>
  <c r="B34" i="13"/>
  <c r="K37" i="13"/>
  <c r="J37" i="13"/>
  <c r="F37" i="13"/>
  <c r="D37" i="13"/>
  <c r="K28" i="13"/>
  <c r="J28" i="13"/>
  <c r="I28" i="13"/>
  <c r="F28" i="13"/>
  <c r="D28" i="13"/>
  <c r="B28" i="13"/>
  <c r="K24" i="13"/>
  <c r="J24" i="13"/>
  <c r="F24" i="13"/>
  <c r="D24" i="13"/>
  <c r="B20" i="13"/>
  <c r="B24" i="13"/>
  <c r="J20" i="13"/>
  <c r="D20" i="13"/>
  <c r="F15" i="13"/>
  <c r="D15" i="13"/>
  <c r="B15" i="13"/>
  <c r="K11" i="13"/>
  <c r="F11" i="13"/>
  <c r="G36" i="13"/>
  <c r="G37" i="13" s="1"/>
  <c r="G33" i="13"/>
  <c r="H33" i="13" s="1"/>
  <c r="G32" i="13"/>
  <c r="H32" i="13" s="1"/>
  <c r="G31" i="13"/>
  <c r="H31" i="13" s="1"/>
  <c r="G30" i="13"/>
  <c r="H30" i="13" s="1"/>
  <c r="H34" i="13" s="1"/>
  <c r="G27" i="13"/>
  <c r="H27" i="13" s="1"/>
  <c r="H28" i="13" s="1"/>
  <c r="G23" i="13"/>
  <c r="H23" i="13" s="1"/>
  <c r="G22" i="13"/>
  <c r="H22" i="13" s="1"/>
  <c r="G18" i="13"/>
  <c r="H18" i="13" s="1"/>
  <c r="G17" i="13"/>
  <c r="G14" i="13"/>
  <c r="H14" i="13" s="1"/>
  <c r="G13" i="13"/>
  <c r="G10" i="13"/>
  <c r="G9" i="13"/>
  <c r="H9" i="13" s="1"/>
  <c r="B11" i="13"/>
  <c r="F13" i="14"/>
  <c r="D13" i="14"/>
  <c r="B13" i="14"/>
  <c r="F10" i="14"/>
  <c r="F14" i="14" s="1"/>
  <c r="D10" i="14"/>
  <c r="D14" i="14" s="1"/>
  <c r="B10" i="14"/>
  <c r="B14" i="14" s="1"/>
  <c r="G12" i="14"/>
  <c r="G13" i="14" s="1"/>
  <c r="G9" i="14"/>
  <c r="H9" i="14" s="1"/>
  <c r="G8" i="14"/>
  <c r="G10" i="14" s="1"/>
  <c r="D101" i="11"/>
  <c r="G100" i="11"/>
  <c r="G101" i="11" s="1"/>
  <c r="K101" i="11"/>
  <c r="J101" i="11"/>
  <c r="I101" i="11"/>
  <c r="F101" i="11"/>
  <c r="K98" i="11"/>
  <c r="J98" i="11"/>
  <c r="F98" i="11"/>
  <c r="D98" i="11"/>
  <c r="K95" i="11"/>
  <c r="J95" i="11"/>
  <c r="G97" i="11"/>
  <c r="G98" i="11" s="1"/>
  <c r="F95" i="11"/>
  <c r="D95" i="11"/>
  <c r="B95" i="11"/>
  <c r="G80" i="11"/>
  <c r="G94" i="11"/>
  <c r="H94" i="11" s="1"/>
  <c r="G93" i="11"/>
  <c r="H93" i="11" s="1"/>
  <c r="G92" i="11"/>
  <c r="H92" i="11" s="1"/>
  <c r="G91" i="11"/>
  <c r="G90" i="11"/>
  <c r="H90" i="11" s="1"/>
  <c r="G89" i="11"/>
  <c r="H89" i="11" s="1"/>
  <c r="G88" i="11"/>
  <c r="G87" i="11"/>
  <c r="G86" i="11"/>
  <c r="H86" i="11" s="1"/>
  <c r="G85" i="11"/>
  <c r="H85" i="11" s="1"/>
  <c r="G84" i="11"/>
  <c r="H84" i="11" s="1"/>
  <c r="G83" i="11"/>
  <c r="G82" i="11"/>
  <c r="H82" i="11" s="1"/>
  <c r="G81" i="11"/>
  <c r="H81" i="11" s="1"/>
  <c r="G75" i="11"/>
  <c r="F76" i="11"/>
  <c r="D76" i="11"/>
  <c r="B76" i="11"/>
  <c r="G74" i="11"/>
  <c r="H74" i="11" s="1"/>
  <c r="G73" i="11"/>
  <c r="H73" i="11" s="1"/>
  <c r="G72" i="11"/>
  <c r="H72" i="11" s="1"/>
  <c r="G71" i="11"/>
  <c r="H71" i="11" s="1"/>
  <c r="H76" i="11" s="1"/>
  <c r="F69" i="11"/>
  <c r="B69" i="11"/>
  <c r="G68" i="11"/>
  <c r="H68" i="11" s="1"/>
  <c r="G67" i="11"/>
  <c r="G65" i="11"/>
  <c r="G64" i="11"/>
  <c r="G63" i="11"/>
  <c r="H63" i="11" s="1"/>
  <c r="G62" i="11"/>
  <c r="H62" i="11" s="1"/>
  <c r="G61" i="11"/>
  <c r="G58" i="11"/>
  <c r="H58" i="11" s="1"/>
  <c r="B59" i="11"/>
  <c r="G57" i="11"/>
  <c r="H57" i="11" s="1"/>
  <c r="G56" i="11"/>
  <c r="G53" i="11"/>
  <c r="G39" i="11"/>
  <c r="H39" i="11" s="1"/>
  <c r="G52" i="11"/>
  <c r="H52" i="11" s="1"/>
  <c r="G51" i="11"/>
  <c r="G50" i="11"/>
  <c r="G49" i="11"/>
  <c r="H49" i="11" s="1"/>
  <c r="G48" i="11"/>
  <c r="G47" i="11"/>
  <c r="H47" i="11" s="1"/>
  <c r="G46" i="11"/>
  <c r="H46" i="11" s="1"/>
  <c r="G45" i="11"/>
  <c r="H45" i="11" s="1"/>
  <c r="G44" i="11"/>
  <c r="H44" i="11" s="1"/>
  <c r="G43" i="11"/>
  <c r="G40" i="11"/>
  <c r="H40" i="11" s="1"/>
  <c r="K37" i="11"/>
  <c r="J37" i="11"/>
  <c r="F37" i="11"/>
  <c r="G36" i="11"/>
  <c r="H36" i="11" s="1"/>
  <c r="G34" i="11"/>
  <c r="H34" i="11" s="1"/>
  <c r="G33" i="11"/>
  <c r="H33" i="11" s="1"/>
  <c r="G32" i="11"/>
  <c r="H32" i="11" s="1"/>
  <c r="G31" i="11"/>
  <c r="H31" i="11" s="1"/>
  <c r="G30" i="11"/>
  <c r="G29" i="11"/>
  <c r="H29" i="11" s="1"/>
  <c r="G28" i="11"/>
  <c r="K24" i="11"/>
  <c r="J24" i="11"/>
  <c r="I24" i="11"/>
  <c r="D24" i="11"/>
  <c r="D12" i="11"/>
  <c r="B24" i="11"/>
  <c r="G17" i="11"/>
  <c r="G23" i="11"/>
  <c r="G22" i="11"/>
  <c r="H22" i="11" s="1"/>
  <c r="G21" i="11"/>
  <c r="H21" i="11" s="1"/>
  <c r="G20" i="11"/>
  <c r="H20" i="11" s="1"/>
  <c r="G19" i="11"/>
  <c r="H19" i="11" s="1"/>
  <c r="G18" i="11"/>
  <c r="H18" i="11" s="1"/>
  <c r="G16" i="11"/>
  <c r="H16" i="11" s="1"/>
  <c r="G15" i="11"/>
  <c r="G14" i="11"/>
  <c r="F12" i="11"/>
  <c r="K12" i="11"/>
  <c r="J12" i="11"/>
  <c r="I12" i="11"/>
  <c r="G11" i="11"/>
  <c r="G10" i="11"/>
  <c r="H10" i="11" s="1"/>
  <c r="G9" i="11"/>
  <c r="H9" i="11" s="1"/>
  <c r="G8" i="11"/>
  <c r="G7" i="11"/>
  <c r="F50" i="8"/>
  <c r="F15" i="1"/>
  <c r="F14" i="1"/>
  <c r="F18" i="1" s="1"/>
  <c r="F9" i="6"/>
  <c r="G9" i="6" s="1"/>
  <c r="F9" i="8"/>
  <c r="F11" i="8" s="1"/>
  <c r="F13" i="4"/>
  <c r="F10" i="8"/>
  <c r="F31" i="4"/>
  <c r="G31" i="4" s="1"/>
  <c r="H31" i="4" s="1"/>
  <c r="F20" i="4"/>
  <c r="F48" i="11"/>
  <c r="D66" i="11"/>
  <c r="G66" i="11" s="1"/>
  <c r="G7" i="7"/>
  <c r="H7" i="7" s="1"/>
  <c r="F10" i="9"/>
  <c r="G10" i="9" s="1"/>
  <c r="H10" i="9" s="1"/>
  <c r="F22" i="7"/>
  <c r="G22" i="7" s="1"/>
  <c r="H22" i="7" s="1"/>
  <c r="F19" i="13"/>
  <c r="F20" i="13" s="1"/>
  <c r="F13" i="10"/>
  <c r="G13" i="10" s="1"/>
  <c r="H13" i="10" s="1"/>
  <c r="D7" i="5"/>
  <c r="D10" i="5" s="1"/>
  <c r="D24" i="5" s="1"/>
  <c r="D21" i="8"/>
  <c r="G21" i="8" s="1"/>
  <c r="G8" i="13"/>
  <c r="G11" i="13" s="1"/>
  <c r="F42" i="11"/>
  <c r="F59" i="11" s="1"/>
  <c r="F27" i="7"/>
  <c r="G27" i="7" s="1"/>
  <c r="B37" i="13"/>
  <c r="B37" i="11"/>
  <c r="B12" i="11"/>
  <c r="H30" i="7" l="1"/>
  <c r="H50" i="7" s="1"/>
  <c r="H11" i="7"/>
  <c r="G30" i="7"/>
  <c r="G10" i="5"/>
  <c r="H37" i="9"/>
  <c r="H51" i="9" s="1"/>
  <c r="G51" i="9"/>
  <c r="H38" i="4"/>
  <c r="H41" i="4" s="1"/>
  <c r="H7" i="8"/>
  <c r="I11" i="8"/>
  <c r="I83" i="9"/>
  <c r="I19" i="6"/>
  <c r="F28" i="4"/>
  <c r="F46" i="4" s="1"/>
  <c r="G20" i="4"/>
  <c r="H20" i="4" s="1"/>
  <c r="G50" i="8"/>
  <c r="H50" i="8" s="1"/>
  <c r="F53" i="8"/>
  <c r="G69" i="11"/>
  <c r="H61" i="11"/>
  <c r="D69" i="11"/>
  <c r="G95" i="11"/>
  <c r="G15" i="13"/>
  <c r="F50" i="7"/>
  <c r="H13" i="5"/>
  <c r="H9" i="4"/>
  <c r="H11" i="4" s="1"/>
  <c r="H24" i="4"/>
  <c r="H39" i="4"/>
  <c r="I45" i="7"/>
  <c r="H31" i="8"/>
  <c r="I63" i="8"/>
  <c r="I67" i="8" s="1"/>
  <c r="H12" i="5"/>
  <c r="I59" i="11"/>
  <c r="I102" i="11" s="1"/>
  <c r="H22" i="10"/>
  <c r="H25" i="10" s="1"/>
  <c r="I49" i="7"/>
  <c r="H48" i="7"/>
  <c r="H49" i="7" s="1"/>
  <c r="J30" i="15"/>
  <c r="D59" i="11"/>
  <c r="D102" i="11" s="1"/>
  <c r="G41" i="11"/>
  <c r="G59" i="11" s="1"/>
  <c r="H45" i="7"/>
  <c r="G16" i="7"/>
  <c r="G16" i="8"/>
  <c r="G11" i="9"/>
  <c r="H7" i="9"/>
  <c r="H11" i="9" s="1"/>
  <c r="D33" i="8"/>
  <c r="D67" i="8" s="1"/>
  <c r="H35" i="7"/>
  <c r="H8" i="6"/>
  <c r="F24" i="5"/>
  <c r="G18" i="1"/>
  <c r="H8" i="11"/>
  <c r="H12" i="11" s="1"/>
  <c r="G12" i="11"/>
  <c r="G14" i="14"/>
  <c r="H31" i="9"/>
  <c r="H32" i="9" s="1"/>
  <c r="G16" i="4"/>
  <c r="H26" i="4"/>
  <c r="H45" i="4"/>
  <c r="H15" i="9"/>
  <c r="H17" i="9" s="1"/>
  <c r="I41" i="11"/>
  <c r="I17" i="5"/>
  <c r="H21" i="9"/>
  <c r="G11" i="8"/>
  <c r="H8" i="8"/>
  <c r="H25" i="4"/>
  <c r="K50" i="7"/>
  <c r="I11" i="7"/>
  <c r="I50" i="7" s="1"/>
  <c r="F102" i="11"/>
  <c r="G82" i="9"/>
  <c r="F83" i="9"/>
  <c r="H43" i="8"/>
  <c r="G46" i="8"/>
  <c r="H59" i="8"/>
  <c r="G45" i="7"/>
  <c r="H14" i="4"/>
  <c r="I11" i="4"/>
  <c r="H13" i="4"/>
  <c r="H16" i="4" s="1"/>
  <c r="G41" i="4"/>
  <c r="J14" i="14"/>
  <c r="H80" i="11"/>
  <c r="H95" i="11" s="1"/>
  <c r="I69" i="11"/>
  <c r="G64" i="9"/>
  <c r="H53" i="9"/>
  <c r="H49" i="8"/>
  <c r="H57" i="8"/>
  <c r="G63" i="8"/>
  <c r="H16" i="10"/>
  <c r="H18" i="10" s="1"/>
  <c r="H26" i="10" s="1"/>
  <c r="H32" i="8"/>
  <c r="H60" i="8"/>
  <c r="D50" i="7"/>
  <c r="G34" i="4"/>
  <c r="I37" i="7"/>
  <c r="H34" i="7"/>
  <c r="H37" i="7" s="1"/>
  <c r="H16" i="8"/>
  <c r="H64" i="9"/>
  <c r="H12" i="14"/>
  <c r="H13" i="14" s="1"/>
  <c r="H30" i="11"/>
  <c r="I18" i="6"/>
  <c r="B102" i="11"/>
  <c r="H17" i="13"/>
  <c r="B83" i="9"/>
  <c r="F67" i="8"/>
  <c r="G20" i="5"/>
  <c r="H20" i="8"/>
  <c r="M28" i="9"/>
  <c r="M83" i="9" s="1"/>
  <c r="H100" i="11"/>
  <c r="H101" i="11" s="1"/>
  <c r="G18" i="10"/>
  <c r="G26" i="10" s="1"/>
  <c r="L30" i="15"/>
  <c r="N30" i="15"/>
  <c r="L67" i="8"/>
  <c r="H8" i="14"/>
  <c r="H10" i="14" s="1"/>
  <c r="H39" i="7"/>
  <c r="J46" i="4"/>
  <c r="H22" i="8"/>
  <c r="K83" i="9"/>
  <c r="H56" i="11"/>
  <c r="H8" i="1"/>
  <c r="H17" i="1"/>
  <c r="H21" i="8"/>
  <c r="G42" i="11"/>
  <c r="H42" i="11" s="1"/>
  <c r="I98" i="11"/>
  <c r="B38" i="13"/>
  <c r="G33" i="8"/>
  <c r="G23" i="5"/>
  <c r="G11" i="7"/>
  <c r="I28" i="4"/>
  <c r="H35" i="8"/>
  <c r="H41" i="8" s="1"/>
  <c r="H26" i="9"/>
  <c r="I11" i="13"/>
  <c r="H7" i="1"/>
  <c r="H30" i="15"/>
  <c r="H17" i="11"/>
  <c r="H24" i="11" s="1"/>
  <c r="J50" i="7"/>
  <c r="H23" i="8"/>
  <c r="H29" i="8"/>
  <c r="H70" i="9"/>
  <c r="H78" i="9"/>
  <c r="I10" i="14"/>
  <c r="H48" i="11"/>
  <c r="C45" i="15"/>
  <c r="D30" i="15"/>
  <c r="F30" i="15"/>
  <c r="M30" i="15"/>
  <c r="E30" i="15"/>
  <c r="G30" i="15"/>
  <c r="I30" i="15"/>
  <c r="H53" i="11"/>
  <c r="H24" i="13"/>
  <c r="F38" i="13"/>
  <c r="G19" i="13"/>
  <c r="H19" i="13" s="1"/>
  <c r="H20" i="13" s="1"/>
  <c r="D11" i="13"/>
  <c r="D38" i="13" s="1"/>
  <c r="G34" i="13"/>
  <c r="H10" i="13"/>
  <c r="G24" i="13"/>
  <c r="G28" i="13"/>
  <c r="H8" i="13"/>
  <c r="H11" i="13" s="1"/>
  <c r="H36" i="13"/>
  <c r="H37" i="13" s="1"/>
  <c r="I37" i="13"/>
  <c r="I38" i="13" s="1"/>
  <c r="G28" i="9"/>
  <c r="H25" i="9"/>
  <c r="H22" i="4"/>
  <c r="H24" i="9"/>
  <c r="I46" i="4"/>
  <c r="K67" i="8"/>
  <c r="J67" i="8"/>
  <c r="I24" i="5"/>
  <c r="H7" i="5"/>
  <c r="H10" i="5" s="1"/>
  <c r="H19" i="9"/>
  <c r="H28" i="9" s="1"/>
  <c r="J38" i="13"/>
  <c r="O18" i="15"/>
  <c r="H66" i="11"/>
  <c r="H69" i="11" s="1"/>
  <c r="H30" i="4"/>
  <c r="H34" i="4" s="1"/>
  <c r="H14" i="5"/>
  <c r="J83" i="9"/>
  <c r="H18" i="1"/>
  <c r="H13" i="13"/>
  <c r="H15" i="13" s="1"/>
  <c r="H37" i="11"/>
  <c r="H18" i="8"/>
  <c r="H7" i="6"/>
  <c r="H19" i="4"/>
  <c r="G37" i="11"/>
  <c r="G24" i="11"/>
  <c r="H82" i="9"/>
  <c r="I18" i="1"/>
  <c r="I13" i="14"/>
  <c r="I14" i="14" s="1"/>
  <c r="K38" i="13"/>
  <c r="J102" i="11"/>
  <c r="K102" i="11"/>
  <c r="H46" i="8"/>
  <c r="H63" i="8" l="1"/>
  <c r="H28" i="4"/>
  <c r="G24" i="5"/>
  <c r="G28" i="4"/>
  <c r="G46" i="4" s="1"/>
  <c r="H41" i="11"/>
  <c r="H59" i="11" s="1"/>
  <c r="H102" i="11" s="1"/>
  <c r="H11" i="6"/>
  <c r="H19" i="6" s="1"/>
  <c r="H83" i="9"/>
  <c r="G50" i="7"/>
  <c r="G53" i="8"/>
  <c r="G67" i="8" s="1"/>
  <c r="H53" i="8"/>
  <c r="H33" i="8"/>
  <c r="H67" i="8" s="1"/>
  <c r="G83" i="9"/>
  <c r="G20" i="13"/>
  <c r="G38" i="13" s="1"/>
  <c r="H38" i="13"/>
  <c r="H17" i="5"/>
  <c r="H24" i="5" s="1"/>
  <c r="H14" i="14"/>
  <c r="H11" i="8"/>
  <c r="H46" i="4"/>
  <c r="G102" i="11"/>
</calcChain>
</file>

<file path=xl/sharedStrings.xml><?xml version="1.0" encoding="utf-8"?>
<sst xmlns="http://schemas.openxmlformats.org/spreadsheetml/2006/main" count="1064" uniqueCount="423">
  <si>
    <t>เทศบาลตำบลหาดกรวด</t>
  </si>
  <si>
    <t>รายจ่ายในการดำเนินงานที่จ่ายจากเงินรายรับตามแผนงานบริหารงานทั่วไป</t>
  </si>
  <si>
    <t>ประมาณการ</t>
  </si>
  <si>
    <t>โอนเพิ่ม</t>
  </si>
  <si>
    <t>โอนลด</t>
  </si>
  <si>
    <t>สุทธิ</t>
  </si>
  <si>
    <t>+ สูง - ต่ำกว่า</t>
  </si>
  <si>
    <t>รวมจ่ายจริง</t>
  </si>
  <si>
    <t>งาน</t>
  </si>
  <si>
    <t>บริหารทั่วไป</t>
  </si>
  <si>
    <t>บริหารงานคลัง</t>
  </si>
  <si>
    <t>รายการ</t>
  </si>
  <si>
    <t>-เงินเดือนพนักงาน</t>
  </si>
  <si>
    <t>-ค่ารักษาพยาบาล</t>
  </si>
  <si>
    <t>-การศึกษาบุตร</t>
  </si>
  <si>
    <t>บริหารทั่วไปฯ</t>
  </si>
  <si>
    <t>ไฟฟ้าและถนน</t>
  </si>
  <si>
    <t>-ค่าเช่าบ้าน</t>
  </si>
  <si>
    <t>-โครงการวางและจัดทำผังเมืองชุมชน</t>
  </si>
  <si>
    <t>กิจการประปา</t>
  </si>
  <si>
    <t>-ค่าไฟฟ้า</t>
  </si>
  <si>
    <t xml:space="preserve">รวมรายจ่ายตามแผนงานการพาณิชย์ </t>
  </si>
  <si>
    <t>บำบัดน้ำเสีย</t>
  </si>
  <si>
    <t>สาธารณสุขอื่น</t>
  </si>
  <si>
    <t>-ค่าจ้างเหมาบริการ</t>
  </si>
  <si>
    <t>-ค่ารับวารสาร</t>
  </si>
  <si>
    <t>-โครงการป้องกันและควบคุมโรคติดต่อ</t>
  </si>
  <si>
    <t xml:space="preserve">-วัสดุวิทยาศาสตร์หรือการแพทย์ </t>
  </si>
  <si>
    <t>-วัสดุน้ำมันเชื้อเพลิงและหล่อลื่น</t>
  </si>
  <si>
    <t>-โครงการสาธารณสุขมูลฐาน สอ.หาดกรวด จำนวน 6 หมู่บ้าน</t>
  </si>
  <si>
    <t>-โครงการสาธารณสุขมูลฐาน สอ.บ้านท่า จำนวน 3 หมู่บ้าน</t>
  </si>
  <si>
    <t>รายจ่ายในการดำเนินงานที่จ่ายจากเงินรายรับตามแผนงานสาธารณสุข</t>
  </si>
  <si>
    <t>รวมรายจ่ายตามแผนงานสาธารณสุข</t>
  </si>
  <si>
    <t>ประเภทรายจ่ายตามข้อผูกพัน</t>
  </si>
  <si>
    <t>งบกลาง</t>
  </si>
  <si>
    <t>-ค่าบำรุงสมาคมสันนิบาตเทศบาลแห่งประเทศไทย</t>
  </si>
  <si>
    <t>-เงินสมทบกองทุน ก.บ.ท.</t>
  </si>
  <si>
    <t>-เงินสมทบกองทุนประกันสังคม</t>
  </si>
  <si>
    <t>-เงินช่วยเหลือค่าครองชีพผู้รับบำเหน็จบำนาญ (ช.ค.บ.)</t>
  </si>
  <si>
    <t>-เงินบำเหน็จลูกจ้างประจำ</t>
  </si>
  <si>
    <t>ประเภทเงินสำรองจ่าย</t>
  </si>
  <si>
    <t>รวมรายจ่ายงบกลาง</t>
  </si>
  <si>
    <t>รายจ่ายในการดำเนินงานที่จ่ายจากเงินรายรับตามแผนงานงบกลาง</t>
  </si>
  <si>
    <t>รายจ่ายในการดำเนินงานที่จ่ายจากเงินรายรับตามแผนงานการเกษตร</t>
  </si>
  <si>
    <t>งานส่งเสริมฯ</t>
  </si>
  <si>
    <t>งานอนุรักษ์ฯ</t>
  </si>
  <si>
    <t>-โครงการเกี่ยวกับการพัฒนาการเกษตรอย่างยั่งยืน ตามแนวพระราชดำริ ศก.พอเพียง</t>
  </si>
  <si>
    <t>-โครงการส่งเสริมสนับสนุนการปลูกพืชเศรษฐกิจ</t>
  </si>
  <si>
    <t>-โครงการส่งเสริมสนับสนุนการเลี้ยงสัตว์เศรษฐกิจ</t>
  </si>
  <si>
    <t>-โครงการส่งเสริมสนับสนุนการประมง</t>
  </si>
  <si>
    <t>-โครงการพัฒนาการส่งเสริมการทำเกษตรปลอดสารและโครงการเกษตรอินทรีย์</t>
  </si>
  <si>
    <t xml:space="preserve">-ค่าใช้จ่ายในการเดินทางไปราชการ ค่าลงทะเบียนฝึกอบรมฯ </t>
  </si>
  <si>
    <t>-วัสดุคอมพิวเตอร์</t>
  </si>
  <si>
    <t>รวมรายจ่ายตามแผนงานการเกษตร</t>
  </si>
  <si>
    <t>-เงินเดือนนายก/รองนายก</t>
  </si>
  <si>
    <t>-ค่าตอบแทนประจำตำแหน่ง นายก/รองนายก</t>
  </si>
  <si>
    <t>-ค่าตอบแทนพิเศษ นายก/รองนายก</t>
  </si>
  <si>
    <t>-เงินเดือน/ค่าตอบแทนเลขานุการและที่ปรึกษา</t>
  </si>
  <si>
    <t>-ค่าตอบแทนประธานสภา รองฯ และสมาชิกสภาเทศบาล</t>
  </si>
  <si>
    <t>-ค่าเบี้ยประชุม                                         (ปลัด)</t>
  </si>
  <si>
    <t>-เงินประโยชน์ตอบแทนอื่น                           (ปลัด)</t>
  </si>
  <si>
    <t>-ค่าตอบแทนปฏิบัติงานนอกเวลา                    (ปลัด)</t>
  </si>
  <si>
    <t>-การศึกษาบุตร                                          (ปลัด)</t>
  </si>
  <si>
    <t>-ค่ารักษาพยาบาล                                       (ปลัด)</t>
  </si>
  <si>
    <t>-ค่าเช่าบ้าน                                               (ปลัด)</t>
  </si>
  <si>
    <t>-ค่าโทรศัพท์</t>
  </si>
  <si>
    <t>-ค่าบริการโทรคมนาคม</t>
  </si>
  <si>
    <t>อุดหนุนหน่วยงานของรัฐหรือองค์กรเอกชน</t>
  </si>
  <si>
    <t>รวมรายจ่ายตามแผนงานบริหารงานทั่วไป</t>
  </si>
  <si>
    <t>รายจ่ายในการดำเนินงานที่จ่ายจากเงินรายรับตามแผนงานการรักษาความสงบภายใน</t>
  </si>
  <si>
    <t>งานป้องกันฯ</t>
  </si>
  <si>
    <t>ที่ทำการปกครองอำเภอเมืองอุตรดิตถ์</t>
  </si>
  <si>
    <t>-โครงการช่วยเหลือราษฎรขาดแคลนน้ำอุปโภคบริโภค</t>
  </si>
  <si>
    <t>รายจ่ายในการดำเนินงานที่จ่ายจากเงินรายรับตามแผนงานสังคมสงเคราะห์</t>
  </si>
  <si>
    <t>งานสวัสดิการฯ</t>
  </si>
  <si>
    <t>-โครงการบ้านท้องถิ่นไทยเทิดไท้องค์ราชัน</t>
  </si>
  <si>
    <t>รายจ่ายในการดำเนินงานที่จ่ายจากเงินรายรับตามแผนงานสร้างความเข้มแข็งของชุมชน</t>
  </si>
  <si>
    <t>-โครงการประชุมสัญจร ประชาคมหมู่บ้านและตำบล</t>
  </si>
  <si>
    <t>ระดับก่อนวัยฯ</t>
  </si>
  <si>
    <t>ไม่กำหนดระดับ</t>
  </si>
  <si>
    <t>-ค่ารับเอกสาร วารสาร ฯลฯ</t>
  </si>
  <si>
    <t>-ค่าจ้างเหมารถรับ-ส่ง นักเรียน ศพด. 2 ศูนย์</t>
  </si>
  <si>
    <t>งานกีฬาฯ</t>
  </si>
  <si>
    <t>งานศาสนาฯ</t>
  </si>
  <si>
    <t>-โครงการส่งเสริมงานศาสนา ประเพณี และวัฒนธรรมท้องถิ่น</t>
  </si>
  <si>
    <t>-โครงการประชุมผู้ปกครองและปฐมนิเทศนักเรียน</t>
  </si>
  <si>
    <t>-โครงการมุมสร้างสรรค์สู่การเรียนรู้เพื่อหนูน้อย</t>
  </si>
  <si>
    <t>-ค่าใช้จ่ายในการเดินทางไปราชการ ค่าลงทะเบียนฝึกอบรมของพนักงานฯลฯ</t>
  </si>
  <si>
    <t>ค่าใช้จ่ายในการบริหารสถานศึกษา</t>
  </si>
  <si>
    <t>-ศูนย์พัฒนาเด็กเล็กบ้านวังหมู</t>
  </si>
  <si>
    <t>-ศูนย์พัฒนาเด็กเล็กเทศบาลตำบลหาดกรวด</t>
  </si>
  <si>
    <t>-ค่าวัสดุงานบ้านงานครัว</t>
  </si>
  <si>
    <t>-ค่าหนังสือพิมพ์รายวัน</t>
  </si>
  <si>
    <t>-ค่าอาหารเสริม(นม) ศพด. 2 ศูนย์</t>
  </si>
  <si>
    <t>-ค่าอาหารเสริม(นม) นักเรียนโรงเรียนประถมศึกษา 5 แห่ง</t>
  </si>
  <si>
    <t>-โครงการจัดงานเทศกาลลางสาดหวานและมหกรรมของดีเมืองอุตรดิตถ์</t>
  </si>
  <si>
    <t>-โครงการงานพระยาพิชัยดาบหักและงานกาชาดจังหวัดอุตรดิตถ์</t>
  </si>
  <si>
    <t>เหล่ากาชาดจังหวัดอุตรดิตถ์</t>
  </si>
  <si>
    <t>-โครงการบรรเทาทุกข์และช่วยเหลือผู้ประสบภัย และผู้ด้อยโอกาสฯ</t>
  </si>
  <si>
    <t>รวมรายจ่ายตามแผนงานการศึกษา</t>
  </si>
  <si>
    <t>รวมรายจ่ายตามแผนงานสังคมสงเคราะห์</t>
  </si>
  <si>
    <t>รวมรายจ่ายตามแผนงานการรักษาความสงบภายใน</t>
  </si>
  <si>
    <t>รวมรายจ่ายตามแผนงานสร้างความเข้มแข็งของชุมชน</t>
  </si>
  <si>
    <t>รายจ่ายในการดำเนินงานที่จ่ายจากเงินรายรับตามแผนงานศาสนาวัฒนธรรมและนันทนาการ</t>
  </si>
  <si>
    <t xml:space="preserve">รวมรายจ่ายตามแผนงานศาสนาวัฒนธรรมและนันทนาการ </t>
  </si>
  <si>
    <t>รายจ่ายในการดำเนินงานที่จ่ายจากเงินรายรับตามแผนงานการพาณิชย์</t>
  </si>
  <si>
    <t>รายจ่ายในการดำเนินงานที่จ่ายจากเงินรายรับตามแผนงานเคหะและชุมชน</t>
  </si>
  <si>
    <t>รายจ่ายในการดำเนินงานที่จ่ายจากเงินรายรับตามแผนงานการศึกษา</t>
  </si>
  <si>
    <t>-เงินสงเคราะห์เบี้ยยังชีพผู้ป่วยโรคเอดส์</t>
  </si>
  <si>
    <t>เทศบาลตำบลหาดกรวด  อำเภอเมือง  จังหวัดอุตรดิตถ์</t>
  </si>
  <si>
    <t>งบแสดงผลการดำเนินงานจ่ายจากเงินรายรับ</t>
  </si>
  <si>
    <t>เงินเดือน</t>
  </si>
  <si>
    <t>ค่าจ้างประจำ</t>
  </si>
  <si>
    <t>ค่าจ้างชั่วคราว</t>
  </si>
  <si>
    <t>ค่าตอบแทน</t>
  </si>
  <si>
    <t>ค่าใช้สอย</t>
  </si>
  <si>
    <t xml:space="preserve">ค่าวัสดุ </t>
  </si>
  <si>
    <t>ค่าสาธารณูปโภค</t>
  </si>
  <si>
    <t>เงินอุดหนุน</t>
  </si>
  <si>
    <t>ค่าครุภัณฑ์  (หมายเหตุ 1)</t>
  </si>
  <si>
    <t>ที่ดินและสิ่งก่อสร้าง  (หมายเหตุ 2)</t>
  </si>
  <si>
    <t>รวม</t>
  </si>
  <si>
    <t>รักษาความ</t>
  </si>
  <si>
    <t>สงบภายใน</t>
  </si>
  <si>
    <t>การศึกษา</t>
  </si>
  <si>
    <t>สาธารณสุข</t>
  </si>
  <si>
    <t>สังคม</t>
  </si>
  <si>
    <t>สงเคราะห์</t>
  </si>
  <si>
    <t>เคหะและ</t>
  </si>
  <si>
    <t>ชุมชน</t>
  </si>
  <si>
    <t>สร้างความ</t>
  </si>
  <si>
    <t>เข้มแข็งฯ</t>
  </si>
  <si>
    <t>ศาสนาฯ</t>
  </si>
  <si>
    <t>การพาณิชย์</t>
  </si>
  <si>
    <t>การเกษตร</t>
  </si>
  <si>
    <t>เงินอุดหนุนเฉพาะกิจ</t>
  </si>
  <si>
    <t>รายรับ</t>
  </si>
  <si>
    <t>ภาษีอาการ</t>
  </si>
  <si>
    <t>ค่าธรรมเนียม ค่าปรับ และใบอนุญาต</t>
  </si>
  <si>
    <t>รายได้เบ็ดเตล็ด</t>
  </si>
  <si>
    <t>รัฐบาลจัดสรร</t>
  </si>
  <si>
    <t>อุดหนุนทั่วไป</t>
  </si>
  <si>
    <t>รวมรายรับ</t>
  </si>
  <si>
    <t>รวมรายรับทั้งสิ้น</t>
  </si>
  <si>
    <t>รายได้จากทรัพย์สิน</t>
  </si>
  <si>
    <t>(ลงชื่อ)..................................................</t>
  </si>
  <si>
    <t xml:space="preserve">           (นางสาวอารม  คุ้มแสง)</t>
  </si>
  <si>
    <t xml:space="preserve">            ผู้อำนวยการกองคลัง</t>
  </si>
  <si>
    <t>(ลงชื่อ)..........................................................</t>
  </si>
  <si>
    <t xml:space="preserve">    ปลัดเทศบาลตำบลหาดกรวด</t>
  </si>
  <si>
    <t xml:space="preserve">        นายกเทศมนตรีตำบลหาดกรวด</t>
  </si>
  <si>
    <t>-กรณีฉุกเฉินหรือตามความจำเป็น กรณีภัยพิบัติ</t>
  </si>
  <si>
    <t>-สนับสนุนกองทุนหลักประกันสุขภาพแห่งชาติ (สปสช.)</t>
  </si>
  <si>
    <t xml:space="preserve">-เงินเดือนพนักงาน </t>
  </si>
  <si>
    <t>-เงินเพิ่มต่างๆ ของพนักงานจ้าง                  (ปลัด)</t>
  </si>
  <si>
    <t>-ค่าจ้างพนักงานจ้าง                                 (ปลัด)</t>
  </si>
  <si>
    <t xml:space="preserve">-ค่าจ้างพนักงานจ้าง                                 </t>
  </si>
  <si>
    <t xml:space="preserve">-เงินเพิ่มต่างๆ ของพนักงานจ้าง                  </t>
  </si>
  <si>
    <t xml:space="preserve">-ค่าตอบแทนปฏิบัติงานนอกเวลา                    </t>
  </si>
  <si>
    <t xml:space="preserve">-ค่ารักษาพยาบาล                                      </t>
  </si>
  <si>
    <t>-ค่าใช้จ่ายในการเดินทางไปราชการ</t>
  </si>
  <si>
    <t>-ค่าใช้จ่ายในการเลือกตั้ง</t>
  </si>
  <si>
    <t>-คชจ.ในการจัดงานวันเฉลิมพระชนมพรรษา (วันพ่อแห่งชาติ)</t>
  </si>
  <si>
    <t>-คชจ.ในการจัดงานวันเฉลิมพระชนมพรรษา (วันแม่แห่งชาติ)</t>
  </si>
  <si>
    <t>-คชจ.ในการจัดงานวันเทศบาล (1ก.ค.)</t>
  </si>
  <si>
    <t>-โครงการรณรงค์ป้องกันและลดอุบัติเหตุทางถนนช่วงเทศกาลปีใหม่ สงกรานต์</t>
  </si>
  <si>
    <t>-โครงการพัฒนาการเมืองการปกครองระบอบประชาธิปไตย</t>
  </si>
  <si>
    <t>-โครงการพัฒนาศักยภาพบุคลากรเทศบาล</t>
  </si>
  <si>
    <t>-โครงการเทศบาลเคลื่อนที่บริการประชาชน</t>
  </si>
  <si>
    <t>-รายจ่ายเพื่อบำรุงรักษาหรือซ่อมแซมทรัพย์สิน</t>
  </si>
  <si>
    <t>-วัสดุเชื้อเพลิงและหล่อลื่น</t>
  </si>
  <si>
    <t>-ค่าวัสดุเครื่องดับเพลิง</t>
  </si>
  <si>
    <t xml:space="preserve">-ค่าใช้บริการเครื่องมือสื่อสาร โทรศัพท์เคลื่อนที่                       </t>
  </si>
  <si>
    <t xml:space="preserve">-ค่าโทรศัพท์สำนักงาน                                                </t>
  </si>
  <si>
    <t xml:space="preserve">-ค่าบริการโทรคมนาคม                                                </t>
  </si>
  <si>
    <t>-เงินเดือนพนักงาน                                  (ปลัด)</t>
  </si>
  <si>
    <t>-เงินเพิ่มต่างๆ                                       (ปลัด)</t>
  </si>
  <si>
    <t>-ค่าจ้างประจำ                                       (ปลัด)</t>
  </si>
  <si>
    <t>-เงินเพิ่มต่าง ๆ                                       (ปลัด)</t>
  </si>
  <si>
    <t>-เงินเดือนพนักงาน                                                  (คลัง)</t>
  </si>
  <si>
    <t>-เงินเพิ่มต่างๆ                                                        (คลัง)</t>
  </si>
  <si>
    <t>-ค่าจ้างพนักงานจ้าง                                                 (คลัง)</t>
  </si>
  <si>
    <t>-เงินเพิ่มต่างๆ ของพนักงานจ้าง                                   (คลัง)</t>
  </si>
  <si>
    <t>-ค่าตอบแทนปฏิบัติราชการอันเป็นประโยชน์แก่ อปท.                 (คลัง)</t>
  </si>
  <si>
    <t>-ค่ารักษาพยาบาล                                                            (คลัง)</t>
  </si>
  <si>
    <t>-ค่าเช่าบ้าน                                                                   (คลัง)</t>
  </si>
  <si>
    <t>-ค่ารับวารสาร ค่าธรรมเนียมการโอนเงิน ค่าส่งโทรสาร ฯ                      (คลัง)</t>
  </si>
  <si>
    <t>-คชจ.ในการเดินทางไปราชการ ค่าลงทะเบียน ฝึกอบรมฯ                      (คลัง)</t>
  </si>
  <si>
    <t>-ค่าใช้จ่ายการดำเนินงานการจัดทำแผนที่ภาษีฯ                                 (คลัง)</t>
  </si>
  <si>
    <t>-รายจ่ายเพื่อบำรุงรักษาหรือซ่อมแซมทรัพย์สิน                                  (คลัง)</t>
  </si>
  <si>
    <t>-ค่าวัสดุคอมพิวเตอร์                                                                (คลัง)</t>
  </si>
  <si>
    <t>-ค่าวัสดุสำนักงาน                                                                   (คลัง)</t>
  </si>
  <si>
    <t>-ค่าไปรษณีย์ ค่าธนาณัติ ค่าบริการจัดส่งเอกสาร                                   (คลัง)</t>
  </si>
  <si>
    <t>-เงินเพิ่มต่างๆของพนักงาน</t>
  </si>
  <si>
    <t>-ค่าจ้างพนักงานจ้าง</t>
  </si>
  <si>
    <t xml:space="preserve">-เงินเพิ่มต่างๆของพนักงานจ้าง </t>
  </si>
  <si>
    <t>-ค่าตอบแทนการปฏิบัติงานนอกเวลาราชการ</t>
  </si>
  <si>
    <t>-ค่าจ้างเหมาการตรวจวิเคราะห์และทดสอบตัวอย่างน้ำ</t>
  </si>
  <si>
    <t>-ค่าใช้จ่ายในการเดินทางไปราชการ คชจ.ในการอบรม คชจ.ในการลงทะเบียน</t>
  </si>
  <si>
    <t>-รายจ่ายเพื่อบำรุงหรือซ่อมแซมทรัพย์สิน</t>
  </si>
  <si>
    <t xml:space="preserve">-ค่าวัสดุไฟฟ้าและอุปกรณ์ไฟฟ้าต่างๆ </t>
  </si>
  <si>
    <t xml:space="preserve">-ค่าวัสดุก่อสร้างต่างๆ เช่น ท่อน้ำ ท่อ-ทาง ต่างๆ </t>
  </si>
  <si>
    <t xml:space="preserve">-ค่าวัสดุอื่นๆ เช่น คลอรีน สารส้ม ทรายกรองน้ำ ฯลฯ </t>
  </si>
  <si>
    <t>-ค่าวัสดุน้ำมันเชื้อเพลิงและหล่อลื่น</t>
  </si>
  <si>
    <t>-ค่าไฟฟ้ากิจการประปา</t>
  </si>
  <si>
    <t xml:space="preserve">-เงินเพิ่มต่างๆ ของพนักงาน </t>
  </si>
  <si>
    <t>-เงินเพิ่มต่าง ๆ ของพนักงานจ้าง</t>
  </si>
  <si>
    <t>-โครงการส่งเสริมกิจกรรมชุมชนสตรี หมู่บ้าน/ตำบล</t>
  </si>
  <si>
    <t>-โครงการส่งเสริมกิจกรรมชมรม/กลุ่มผู้สูงอายุ คนพิการ ผู้ป่วยเอดส์</t>
  </si>
  <si>
    <t>อุดหนุนโรงเรียนในเขตพื้นที่เทศบาลตำบลหาดกรวด 5 แห่ง</t>
  </si>
  <si>
    <t>-ค่าอาหารกลางวันนักเรียนโรงเรียนประถมศึกษา 5 แห่ง</t>
  </si>
  <si>
    <t>-เงินเพิ่มต่างๆ ของพนักงาน</t>
  </si>
  <si>
    <t>-เงินเพิ่มต่างๆ ของพนักงานจ้าง</t>
  </si>
  <si>
    <t>-โครงการส่งเสริมสุขภาพประชาชนตำบลหาดกรวด</t>
  </si>
  <si>
    <t>-โครงการอบรมแกนนำสุขภาพประจำครอบครัว</t>
  </si>
  <si>
    <t>-โครงการช่วยเหลือผู้ป่วยโรคเอดส์และผู้ติดเชื้อ HIV อำเภอเมืองอุตรดิตถ์</t>
  </si>
  <si>
    <t>-ค่ารับวารสาร ค่าจ้างเหมาบริการต่างๆ ฯลฯ</t>
  </si>
  <si>
    <t>-โครงการอนุรักษ์ฟื้นฟูทรัพยากรธรรมชาติและสิ่งแวดล้อม</t>
  </si>
  <si>
    <t>-รายเพื่อบำรุงรักษาหรือซ่อมแซมทรัพย์สิน</t>
  </si>
  <si>
    <t>1</t>
  </si>
  <si>
    <t>2</t>
  </si>
  <si>
    <t>3</t>
  </si>
  <si>
    <t>-</t>
  </si>
  <si>
    <t>กำจัดขยะฯ</t>
  </si>
  <si>
    <t>เงินเดือนฝ่ายการเมือง</t>
  </si>
  <si>
    <t>เงินเดือนฝ่ายประจำ</t>
  </si>
  <si>
    <t xml:space="preserve">ค่าครุภัณฑ์ </t>
  </si>
  <si>
    <t>รวมรายจ่ายตามงบประมาณ</t>
  </si>
  <si>
    <t>รวมรายจ่ายจากเงินอุดหนุนเฉพาะกิจ</t>
  </si>
  <si>
    <t>รวมรายจ่ายทั้งสิ้น</t>
  </si>
  <si>
    <t>รายจ่าย</t>
  </si>
  <si>
    <t>รายได้จากสาธารณูปโภคและพาณิชย์</t>
  </si>
  <si>
    <t>รายรับสูง(ต่ำ)กว่ารายจ่ายจริงสุทธิ</t>
  </si>
  <si>
    <t xml:space="preserve">               (นางสาวพรรณพิไล  สาดคำ)</t>
  </si>
  <si>
    <t xml:space="preserve">           (นายสมัย  สายบุญส่ง)</t>
  </si>
  <si>
    <t>ที่ดินและสิ่งก่อสร้าง  (หมายเหตุ 3)</t>
  </si>
  <si>
    <t>สรุปรายจ่ายที่จ่ายจากเงินรายรับ</t>
  </si>
  <si>
    <t>จ่ายจริง</t>
  </si>
  <si>
    <t>ค่าวัสดุ</t>
  </si>
  <si>
    <t>ค่าครุภัณฑ์</t>
  </si>
  <si>
    <t>ค่าที่ดินและสิ่งก่อสร้าง</t>
  </si>
  <si>
    <t>ตั้งแต่วันที่ 1 ตุลาคม 2556 ถึงวันที่ 30 กันยายน 2557</t>
  </si>
  <si>
    <t>-ค่ารับวารสาร จ้างเหมาบริการ ค่าตรวจประเมิน ค่าเช่าเครื่องถ่าย   (สำนักปลัด)</t>
  </si>
  <si>
    <t>-ค่ารับรองและพิธีการ</t>
  </si>
  <si>
    <t>-ถังน้ำแบบพลาสติก จำนวน 1 ใบ</t>
  </si>
  <si>
    <t>-ชุดไมโครโฟนพร้อมลำโพงและเครื่องขยายเสียง ใช้ในห้องประชุม</t>
  </si>
  <si>
    <t>-เครื่องพิมพ์(ปริ๊นเตอร์(Printer) จำนวน 1 เครื่อง</t>
  </si>
  <si>
    <t>-หน่วยประมวลผลกลาง(CPU) และอุปกรณ์คอมพิวเตอร์</t>
  </si>
  <si>
    <t>-เก้าอื้บุนวมขา C จำนวน 1 ตัว</t>
  </si>
  <si>
    <t>-กล้อมถ่ายรูป จำนวน 1 ตัว</t>
  </si>
  <si>
    <t xml:space="preserve">เงินเดือน(ฝ่ายการเมือง)      </t>
  </si>
  <si>
    <t xml:space="preserve">เงินเดือน(ผ่ายประจำ)     </t>
  </si>
  <si>
    <t xml:space="preserve">ค่าตอบแทน </t>
  </si>
  <si>
    <t xml:space="preserve">ค่าใช้สอย </t>
  </si>
  <si>
    <t>-คอมพิวเตอร์พร้อมอุปกรณ์ จำนวน 1 ชุด                                           (คลัง)</t>
  </si>
  <si>
    <t>-เครื่องดูดฝุ่น จำนวน 1 เครื่อง                                              (สำนักปลัด)</t>
  </si>
  <si>
    <t xml:space="preserve">ค่าสาธารณูปโภค  </t>
  </si>
  <si>
    <t>-วัสดุงานบ้านงานครัว                                   (สำนักปลัด)</t>
  </si>
  <si>
    <t>-ค่าไฟฟ้าสำนักงาน                                      (สำนักปลัด)</t>
  </si>
  <si>
    <t xml:space="preserve">ค่าครุภัณฑ์  </t>
  </si>
  <si>
    <t>-โครงการกิจกรรมป้องกันและบรรเทาสาธารณภัย กิจกรรม อปพร.</t>
  </si>
  <si>
    <t>-เครื่องสูบน้ำ จำนวน 2 เครื่อง</t>
  </si>
  <si>
    <t>ที่ดินและสิ่งก่อสร้าง</t>
  </si>
  <si>
    <t>-โครงการต่อเติมศูนย์ อปพร.เทศบาลตำบลหาดกรวด</t>
  </si>
  <si>
    <t xml:space="preserve">ค่าใช้สอย  </t>
  </si>
  <si>
    <t xml:space="preserve">ค่าวัสดุ    </t>
  </si>
  <si>
    <t xml:space="preserve">เงินอุดหนุน </t>
  </si>
  <si>
    <t xml:space="preserve">เงินเดือน (ฝ่ายประจำ)   </t>
  </si>
  <si>
    <t xml:space="preserve">ค่าวัสดุ  </t>
  </si>
  <si>
    <t>-ค่าจ้างเหมาบุคคลภายนอกช่วยงานด้านครูผดด.</t>
  </si>
  <si>
    <t>-ค่าวัสดุคอมพิวเตอร์</t>
  </si>
  <si>
    <t>-เครื่องพิมพ์(ปริ๊นเตอร์ Printer) จำนวน 1 เครื่อง</t>
  </si>
  <si>
    <t>-โครงการส่งเสริมการจัดกิจกรรมเด็กและเยาวชน วันเด็ก วันเยาวชนฯลฯ</t>
  </si>
  <si>
    <t>-โครงการแข่งขันกีฬาภายในศูนย์พัฒนาเด็กเล็ก</t>
  </si>
  <si>
    <t xml:space="preserve">-โครงการส่งเสริมกิจกรรมวันสำคัญประจำศูนย์พัฒนาเด็กเล็ก </t>
  </si>
  <si>
    <t>-ค่าวัสดุงานบ้านงานครัว (ศพด.)</t>
  </si>
  <si>
    <t>-โครงการจ้างนักเรียนนักศึกษาทำงานช่วงปิดเทอม</t>
  </si>
  <si>
    <t>ค่าวัสดุอื่นๆ</t>
  </si>
  <si>
    <t xml:space="preserve">เงินเดือน (ฝ่ายประจำ)  </t>
  </si>
  <si>
    <t>-ค่ารับวารสาร จ้างเหมาบริการ ค่าโฆษณาและเผยแพร่ คชจ.อื่นๆ ฯลฯ</t>
  </si>
  <si>
    <t>-ค่าจ้างเหมาบุคคลภายนอกช่วยงานด้านการกำจัด การเก็บ ขน สิ่งปฏิกูล ฯลฯ</t>
  </si>
  <si>
    <t xml:space="preserve">-ค่าธรรมเนียมกำจัดขยะมูลฝอยเป็นรายเดือนอัตราตันละ 300 บาท </t>
  </si>
  <si>
    <t xml:space="preserve">-เครื่องพ่นยุ่งชนิดสะพายหลัง  จำนวน 1 เครื่อง </t>
  </si>
  <si>
    <t xml:space="preserve">-เครื่องพิมพ์(ปริ๊นเตอร์ Printer) จำนวน 1 เครื่อง </t>
  </si>
  <si>
    <t>-โครงการพัฒนาศักยภาพอาสาสมัครสาธารณสุขมูลฐาน</t>
  </si>
  <si>
    <t xml:space="preserve">เงินอุดหนุน  </t>
  </si>
  <si>
    <t>-โครงการกองทุนสวัสดิการชุมชน</t>
  </si>
  <si>
    <t>-ทบทวนแผนชุมชนแบบบูรณาการ ในเขตเทศบาลตำบลหาดกรวด</t>
  </si>
  <si>
    <t>-โครงการบำรุงทุกข์บำรุงสุข แบบ ABC</t>
  </si>
  <si>
    <t>-โครงการส่งเสริมอาชีพของราษฎรในเขตเทศบาลตำบลหาดกรวด</t>
  </si>
  <si>
    <t>-โครงการป้องกันและแก้ไขปัญหายาเสพติด และกิจกรรมบำบัดฟื้นฟูผู้ติด/ผู้เสพ</t>
  </si>
  <si>
    <t>-โครงการส่งเสริมและฝึกอาชีพของกลุ่มอาชีพ/กลุ่มวิสาหกิจชุมชน ม.1-9</t>
  </si>
  <si>
    <t>-โครงการแข่งขันกีฬาสัมพันธ์ อำเภอเมืองอุตรดิตถ์</t>
  </si>
  <si>
    <t>-โครงกางจัดระเบียบสังคมอำเภอเมืองอุตรดิตถ์</t>
  </si>
  <si>
    <t>-โครงการฝึกอบรมและพัฒนาลูกเสือขาวบ้านอำเภอเมืองอุตรดิตถ์</t>
  </si>
  <si>
    <t>-โครงการจัดการแข่งขันกีฬาขั้นพื้นฐานและกีฬาเพื่อมวลชน</t>
  </si>
  <si>
    <t>-โครงการแข่งขันกีฬาเพื่อความเป็นเลิศ และกีฬาเพื่อการอาชีพ</t>
  </si>
  <si>
    <t>-โครงการศูนย์การเรียนรู้ภูมิปัญญาท้องถิ่นประจำศูนย์พัฒนาเด็กเล็ก</t>
  </si>
  <si>
    <t>-ค่าจ้างเหมาบุคคลภายนอกทำแผงประตูเปิด-ปิดน้ำ สถานีสูบน้ำด้วยไฟฟ้า</t>
  </si>
  <si>
    <t>-เครื่องพิมพ์คอมพิวเตอร์ (ปริ๊นเตอร์ Printer) จำนวน 1 เครื่อง</t>
  </si>
  <si>
    <t>-เก้าอื้บุนวมขาซี จำนวน 3 ตัว</t>
  </si>
  <si>
    <t xml:space="preserve">-เครื่องเจียแบบมือถือ ขนาด 5 นิ้ว จำนวน 1 ตัว </t>
  </si>
  <si>
    <t xml:space="preserve">ค่าสาธารณูปโภค </t>
  </si>
  <si>
    <t xml:space="preserve">ที่ดินและสิ่งก่อสร้าง </t>
  </si>
  <si>
    <t>-เงินค่าชำระหนี้เงินต้น (ชำระหนี้เงินกู้จัดซื้อรถบรรทุกขยะ จำนวน 1 คัน)</t>
  </si>
  <si>
    <t>-เงินค่าชำระดอกเบี้ย (ชำระดอกเบี้ยเงินกู้จัดซื้อรถบรรทุกขยะ จำนวน 1 คัน)</t>
  </si>
  <si>
    <t xml:space="preserve">เงินเดือน(ฝ่ายประจำ)      </t>
  </si>
  <si>
    <t>-ครุภัณฑ์ยานพาหนะ จำนวน 1 คัน</t>
  </si>
  <si>
    <t xml:space="preserve">-เก้าอื้บุนวมขาซี จำนวน 4 ตัว </t>
  </si>
  <si>
    <t>-เครื่องพิมพ์คอมพิวเตอร์(ปริ๊นเตอร์ Printer) จำนวน 2 เครื่อง</t>
  </si>
  <si>
    <t xml:space="preserve">-โครงการซ่อมแซมถนนลูกรัง ม.1-ม.9 </t>
  </si>
  <si>
    <t>-บันไดอลูมิเนียม จำนวน 1 อัน</t>
  </si>
  <si>
    <t>การไฟฟ้าส่วนภูมิภาคจังหวัดอุตรดิตถ์</t>
  </si>
  <si>
    <t xml:space="preserve">-ครุภัณฑ์ก่อสร้าง </t>
  </si>
  <si>
    <t xml:space="preserve">-แบบหล่อคอนกรีตทรงลูกบาศก์ จำนวน 1 ชุด              ราคา 6,000 บาท </t>
  </si>
  <si>
    <t>-เหล็กตำตัวอย่างคอนกรีต จำนวน 1 อัน                      ราคา   700 บาท</t>
  </si>
  <si>
    <t xml:space="preserve">-แบบหล่อคอนกรีตทรงกระบอก จำนวน 1 ชุด               ราคา 7,500 บาท </t>
  </si>
  <si>
    <t>-ชุดสลัมพ์เทส จำนวน 1 ชุด                                     ราคา 6,000 บาท</t>
  </si>
  <si>
    <t xml:space="preserve">-เครื่องตบดิน จำนวน 1 เครื่อง                                ราคา 19,000 บาท </t>
  </si>
  <si>
    <t>-เวอร์เนียคาลิปเปอร์ จำนวน 1 ตัว                             ราคา 2,000 บาท</t>
  </si>
  <si>
    <t>-ก่อสร้างถนน คสล.ซ.3 ห้วยตะค้อ ม.9 บ้านเขาตอง (ช่วง 2)</t>
  </si>
  <si>
    <t>-ก่อสร้างถนน คสล.ซ.นครสวรรค์ ม.7 (สุดท้าย)</t>
  </si>
  <si>
    <t>-ก่อสร้างถนน คสล.ซ.แม่ลูกจันทร์(กลุ่มตาเล็ก) ม.7 (ช่วง 1)</t>
  </si>
  <si>
    <t>-ก่อสร้างถนน คสล.ซ.8 บุ่งจิก ทางไปหนองหอย (บ้านตากเปียก) ม.3(ช่วง1)</t>
  </si>
  <si>
    <t>-ก่อสร้างถนน คสล.เชื่อมซ.4-ซ.5 ม.5 บ้านท่า</t>
  </si>
  <si>
    <t>-ก่อสร้างถนน คสล.สายป่าแดง-ห้วยพิกุล ม.5 บ้านท่า (ช่วง3)</t>
  </si>
  <si>
    <t>-ก่อสร้างถนน คสล.ซ.4 สูบน้ำไฟฟ้า(ช่วงที่ 1)</t>
  </si>
  <si>
    <t>-ก่อสร้างถนน คสล.ซ.2 บ้านซ่าน (ช่วงที่ 2)</t>
  </si>
  <si>
    <t>-ก่อสร้างถนน คสล.ซ.10 บ้านซ่าน (ช่วงที่ 1) ม.6</t>
  </si>
  <si>
    <t>-ก่อสร้างถนน คสล.ซ.8 บ้านซ่าน (ช่วงที่ 1) ม.6</t>
  </si>
  <si>
    <t>-โครงการหมู่บ้านจัดการขยะแบบประชาชนมีส่วนร่วม</t>
  </si>
  <si>
    <t>-วางท่อระบายน้ำ คสล.ข้างวัดเนินโพธิ์ ม.6</t>
  </si>
  <si>
    <t>-โครงการวางท่อน้ำเข้านา 18 จุด สถานีสูบน้ำด้วยไฟฟ้าบ้านทับใหม่</t>
  </si>
  <si>
    <t>-โครงการแข่งขันกีฬาเครือข่ายกลุ่มโรงเรียนป่าเซ่า-หาดกรวด</t>
  </si>
  <si>
    <t>-โครงการอยู่ค่ายพักแรมลูกเสือ-เนตรนารี ปี 2556</t>
  </si>
  <si>
    <t>-โครงการแข่งขันฟุตบอลยุวชน รุ่นไม่เกิน 12 ปี ต้านยาเสพติดประจำปี 2557</t>
  </si>
  <si>
    <t>-ค่าจ้างเหมาติดตั้งมิเตอร์ไฟฟ้า 15 แอมป์ประปาบ้านเขาตอง ม.9</t>
  </si>
  <si>
    <t>-เครื่องจ่ายสารเคมี จำนวน 2 เครื่อง</t>
  </si>
  <si>
    <t>-ใบพัดน้ำ (เพื่อใช้ในสถานีสูบน้ำด้วยไฟฟ้าฯ)</t>
  </si>
  <si>
    <t>2,3</t>
  </si>
  <si>
    <t>-มอเตอร์ 3 สายขนาด 170 KW สถานีสูบน้ำด้วยไฟฟ้าบ้านทับใหม่</t>
  </si>
  <si>
    <t>-ถังต้มน้ำแสตนเลสไฟฟ้า จำนวน 1 ถัง</t>
  </si>
  <si>
    <t>-ค่าจ้างเหมาบุคคลภายนอกตัดเย็บผ้าคลุมโต๊ะและเก้าอื้ในห้องประชุม</t>
  </si>
  <si>
    <t>-วัสดุสำนักงาน (โต๊ะอเนกประสงค์ 26 ตัว)</t>
  </si>
  <si>
    <t>-วัสดุอื่นๆ (วัสดุและอุปกรณ์สำหรับรถบรรทุกน้ำ)</t>
  </si>
  <si>
    <t>-วัสดุไฟฟ้าและวิทยุ</t>
  </si>
  <si>
    <t>-โครงการวันท้องถิ่นอุตรดิตถ์รวมพลังสร้างท่าเหนือเมืองน่าอยู่ ครั้งที่ 1</t>
  </si>
  <si>
    <t>4</t>
  </si>
  <si>
    <t>-ติดตั้งระบบไฟฟ้าและแสงสว่างสนามฟุตซอล ทต.หาดกรวด</t>
  </si>
  <si>
    <t xml:space="preserve">-โครงการแข่งขันกีฬาแห่งชาติภาค 5 ครั้งที่ 44 และกีฬาคนพิการฯ </t>
  </si>
  <si>
    <t>-ค่าสายสูบน้ำ สายส่งน้ำ ข้อต่อ ฯลฯ (ดับเพลิง)</t>
  </si>
  <si>
    <t>5</t>
  </si>
  <si>
    <t>6</t>
  </si>
  <si>
    <t>-เลื่อยยนต์ขนาด 12 นิ้ว จำนวน 2 ตัว</t>
  </si>
  <si>
    <t>-โครงการสร้างจิตสำนึกต่อสถาบันพระมหากษัตริย์</t>
  </si>
  <si>
    <t>-กระจกโค้งพร้อมติดตั้ง จำนวน 8 ชุด</t>
  </si>
  <si>
    <t xml:space="preserve">-คอมพิวเตอร์พร้อมอุปกรณ์ จำนวน 1 ชุด                                           </t>
  </si>
  <si>
    <t>-โครงการขยายเขตไฟฟ้าสาธารณะบ้านซ่าน (ซอย ร.ต.รุ่ง เลี้ยงเชื้อ) ม.6</t>
  </si>
  <si>
    <t>-โครงการขยายเขตไฟฟ้าสาธารณะบ้านซ่าน (ซอยนางสง่า ทั่งกรณ์) ม.6</t>
  </si>
  <si>
    <t>-โครงการขยายเขตไฟฟ้าสาธารณะบ้านซ่าน (ซอยนายนพพร พลอาสา) ม.6</t>
  </si>
  <si>
    <t>-โครงการขยายเขตไฟฟ้าสาธารณะบ้านวังหมู (ซอยผู้ใหญ่ธงชัย) ม.4</t>
  </si>
  <si>
    <t>-โครงการขยายเขตไฟฟ้าสาธารณะบ้านวังหมู (ซอยนายดอกรัก) ม.4</t>
  </si>
  <si>
    <t>-โครงการขยายเขตไฟฟ้าสาธารณะบ้านวังหมู(ซอยนายสมชาย) ม.4</t>
  </si>
  <si>
    <t>-โครงการขยายเขตไฟฟ้าสาธารณะบ้านวังหมู(ซอยนายทวี) ม.4</t>
  </si>
  <si>
    <t>3,7</t>
  </si>
  <si>
    <t>7</t>
  </si>
  <si>
    <t>-วัสดุเครื่องแต่งกาย</t>
  </si>
  <si>
    <t>8</t>
  </si>
  <si>
    <t>-โครงการสร้างความปรองดองสมานฉันท์เพื่อการปฏิรูป</t>
  </si>
  <si>
    <t>3,8</t>
  </si>
  <si>
    <t>-ค่าจ้างเหมาบริการเก็บค่าน้ำประปาและเก็บขยะ</t>
  </si>
  <si>
    <t>5,9</t>
  </si>
  <si>
    <t>9</t>
  </si>
  <si>
    <t>7,9</t>
  </si>
  <si>
    <t>4,5,9</t>
  </si>
  <si>
    <t>3,9</t>
  </si>
  <si>
    <t>6,9</t>
  </si>
  <si>
    <t>-วัสดุงานบ้านงานครัว</t>
  </si>
  <si>
    <t>-วัสดุวิทยาศาสตร์หรือการแพทย์</t>
  </si>
  <si>
    <t>6,8,10</t>
  </si>
  <si>
    <t>9,10</t>
  </si>
  <si>
    <t>10</t>
  </si>
  <si>
    <t>-โครงการปรับปรุงอาคารสำนักงานเทศบาลตำบลหาดกรวด</t>
  </si>
  <si>
    <t>-เครื่องปรับอากาศชนิดติดผนังขนาด 18000 บีทียู จำนวน 1 เครื่อง</t>
  </si>
  <si>
    <t>-เครื่องปรับอากาศชนิดติดผนังขนาด 12000 บีทียู จำนวน 1 เครื่อง</t>
  </si>
  <si>
    <t>-เครื่องเสียงพร้อมอุปกรณ์</t>
  </si>
  <si>
    <t>-กล้องวงจรปิด พร้อมอุปกรณ์</t>
  </si>
  <si>
    <t>-เครื่องซักผ้า ขนาด 16 ก.ก.แบบ 2 ถัง จำนวน 1 เครื่อง</t>
  </si>
  <si>
    <t>-เครื่องทำน้ำเย็นแบบ 3 หัวจ่ายพร้อมอุปกรณ์ติดตั้ง</t>
  </si>
  <si>
    <t>-เครื่องปรับอากาศชนิดติดตั้งผนังขนาด 24000 บีทียู จำนวน 2 เครื่อง</t>
  </si>
  <si>
    <t>-ถังน้ำพลาสติก ขนาด 2000 ลิตร พร้อมอุปกรณ์ติดตั้ง</t>
  </si>
  <si>
    <t>-ปั๊มน้ำ ขนาด 105 วัตต์ จำนวน 1 เครื่อง</t>
  </si>
  <si>
    <t xml:space="preserve">-เครื่องพ่นยา แบบใช้แรงดันของเหลวชนิดสะพายหลัง </t>
  </si>
  <si>
    <t>5,9,10</t>
  </si>
  <si>
    <t>6,10</t>
  </si>
  <si>
    <t>-โครงการปรับปรุงหลังคาโรงจอดรถด้านหลังอาคารอเนกประสงค์</t>
  </si>
  <si>
    <t>-โครงการก่อสร้างห้องน้ำขนาดกว้าง 3 ม.X 12 ม.</t>
  </si>
  <si>
    <t xml:space="preserve">-โครงการก่อสร้างรั้วหาดริมน้ำน่านสะพานท่าทอง ม.3 </t>
  </si>
  <si>
    <t>11</t>
  </si>
  <si>
    <t>3,11</t>
  </si>
  <si>
    <t>-โครงการรื้อถอนประปาหนองแขม ม.6 บ้านซ่าน</t>
  </si>
  <si>
    <t>3,7,9,11</t>
  </si>
  <si>
    <t>8,11</t>
  </si>
  <si>
    <t>12</t>
  </si>
  <si>
    <t>9,12</t>
  </si>
  <si>
    <t>11,12</t>
  </si>
  <si>
    <t>2,12</t>
  </si>
  <si>
    <t>1,12</t>
  </si>
  <si>
    <t>-เพื่อใช้ในการบริหารการศึกษาโรงเรียนประถมศึกษา 5 แห่ง</t>
  </si>
  <si>
    <t>2,5,12</t>
  </si>
  <si>
    <t>รายจ่ายอื่น</t>
  </si>
  <si>
    <t>-เงินประโยชน์ตอบแทนอื่นเป็นกรณีพิเศษ ค้างจ่ายปีงบประมาณ 2556</t>
  </si>
  <si>
    <t>รวมรายจ่ายตามแผนงานเคหะชุมชน</t>
  </si>
  <si>
    <t>7,12</t>
  </si>
  <si>
    <t>ประจำปีงบประมาณ 2557</t>
  </si>
  <si>
    <t>9,11,12</t>
  </si>
  <si>
    <t>9,11</t>
  </si>
  <si>
    <t>-กล้องวีดีโอระบบ Full HD1920x1080p จำนวน 1 ตัว                   (สำนักปลัด)</t>
  </si>
  <si>
    <t xml:space="preserve">-วิทยุสื่อสาร(ว.ดำ) จำนวน 4 ตัว </t>
  </si>
  <si>
    <t>-โครงการวางท่อน้ำเข้านา 13 จุด ทุบสกัดดาดคอนกรีต</t>
  </si>
  <si>
    <t>-โครงการส่งเสริมด้านสิ่งแวดล้อม (เยาวชนพิทักษ์รักษ์สิ่งแวดล้อม)</t>
  </si>
  <si>
    <t xml:space="preserve">-โครงการรณรงค์เก็บขยะรักษาสิ่งแวดล้อม </t>
  </si>
  <si>
    <t>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</si>
</sst>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5" tint="0.59999389629810485"/>
      <name val="TH SarabunPSK"/>
      <family val="2"/>
    </font>
    <font>
      <sz val="14"/>
      <color theme="4" tint="0.79998168889431442"/>
      <name val="TH SarabunPSK"/>
      <family val="2"/>
    </font>
    <font>
      <sz val="14"/>
      <name val="TH SarabunPSK"/>
      <family val="2"/>
    </font>
    <font>
      <sz val="10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4"/>
      <color theme="1"/>
      <name val="TH SarabunPSK"/>
      <family val="2"/>
    </font>
    <font>
      <sz val="9"/>
      <color theme="1"/>
      <name val="TH SarabunPSK"/>
      <family val="2"/>
    </font>
    <font>
      <sz val="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3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/>
    <xf numFmtId="43" fontId="2" fillId="2" borderId="1" xfId="1" applyFont="1" applyFill="1" applyBorder="1"/>
    <xf numFmtId="49" fontId="2" fillId="0" borderId="1" xfId="0" applyNumberFormat="1" applyFont="1" applyBorder="1" applyAlignment="1">
      <alignment horizontal="left"/>
    </xf>
    <xf numFmtId="49" fontId="2" fillId="0" borderId="7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49" fontId="2" fillId="2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2" fillId="0" borderId="0" xfId="1" applyFont="1"/>
    <xf numFmtId="0" fontId="3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/>
    <xf numFmtId="0" fontId="3" fillId="0" borderId="1" xfId="0" applyFont="1" applyBorder="1"/>
    <xf numFmtId="43" fontId="3" fillId="0" borderId="8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2" fillId="0" borderId="8" xfId="1" applyFont="1" applyBorder="1"/>
    <xf numFmtId="49" fontId="3" fillId="0" borderId="1" xfId="0" applyNumberFormat="1" applyFont="1" applyBorder="1" applyAlignment="1">
      <alignment horizontal="left"/>
    </xf>
    <xf numFmtId="43" fontId="3" fillId="0" borderId="7" xfId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7" xfId="1" applyFont="1" applyBorder="1" applyAlignment="1">
      <alignment horizontal="center"/>
    </xf>
    <xf numFmtId="43" fontId="3" fillId="0" borderId="0" xfId="1" applyFont="1" applyBorder="1"/>
    <xf numFmtId="43" fontId="3" fillId="0" borderId="8" xfId="1" applyFont="1" applyBorder="1"/>
    <xf numFmtId="43" fontId="3" fillId="0" borderId="1" xfId="1" applyFont="1" applyBorder="1" applyAlignment="1">
      <alignment horizontal="center"/>
    </xf>
    <xf numFmtId="49" fontId="3" fillId="0" borderId="1" xfId="0" applyNumberFormat="1" applyFont="1" applyBorder="1"/>
    <xf numFmtId="49" fontId="2" fillId="0" borderId="1" xfId="1" applyNumberFormat="1" applyFont="1" applyBorder="1"/>
    <xf numFmtId="49" fontId="3" fillId="0" borderId="3" xfId="0" applyNumberFormat="1" applyFont="1" applyBorder="1"/>
    <xf numFmtId="49" fontId="3" fillId="0" borderId="0" xfId="0" applyNumberFormat="1" applyFont="1" applyBorder="1"/>
    <xf numFmtId="49" fontId="2" fillId="2" borderId="1" xfId="1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49" fontId="3" fillId="0" borderId="3" xfId="1" applyNumberFormat="1" applyFont="1" applyBorder="1"/>
    <xf numFmtId="49" fontId="3" fillId="0" borderId="0" xfId="1" applyNumberFormat="1" applyFont="1" applyBorder="1"/>
    <xf numFmtId="49" fontId="3" fillId="0" borderId="1" xfId="1" applyNumberFormat="1" applyFont="1" applyBorder="1"/>
    <xf numFmtId="49" fontId="3" fillId="0" borderId="7" xfId="0" applyNumberFormat="1" applyFont="1" applyBorder="1"/>
    <xf numFmtId="49" fontId="3" fillId="0" borderId="9" xfId="0" applyNumberFormat="1" applyFont="1" applyBorder="1"/>
    <xf numFmtId="49" fontId="7" fillId="0" borderId="1" xfId="1" applyNumberFormat="1" applyFont="1" applyBorder="1"/>
    <xf numFmtId="0" fontId="3" fillId="0" borderId="1" xfId="0" applyFont="1" applyBorder="1" applyAlignment="1">
      <alignment horizontal="center"/>
    </xf>
    <xf numFmtId="49" fontId="8" fillId="0" borderId="1" xfId="1" applyNumberFormat="1" applyFont="1" applyBorder="1"/>
    <xf numFmtId="49" fontId="9" fillId="0" borderId="1" xfId="1" applyNumberFormat="1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2" fillId="0" borderId="1" xfId="1" applyFont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3" fontId="2" fillId="0" borderId="13" xfId="0" applyNumberFormat="1" applyFont="1" applyBorder="1"/>
    <xf numFmtId="43" fontId="2" fillId="0" borderId="14" xfId="0" applyNumberFormat="1" applyFont="1" applyBorder="1"/>
    <xf numFmtId="43" fontId="2" fillId="0" borderId="15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43" fontId="3" fillId="0" borderId="16" xfId="1" applyFont="1" applyBorder="1"/>
    <xf numFmtId="0" fontId="3" fillId="0" borderId="13" xfId="0" applyFont="1" applyBorder="1" applyAlignment="1">
      <alignment horizontal="center"/>
    </xf>
    <xf numFmtId="43" fontId="2" fillId="0" borderId="14" xfId="1" applyFont="1" applyBorder="1"/>
    <xf numFmtId="43" fontId="2" fillId="0" borderId="15" xfId="1" applyFont="1" applyBorder="1"/>
    <xf numFmtId="0" fontId="11" fillId="0" borderId="0" xfId="0" applyFont="1" applyBorder="1" applyAlignment="1">
      <alignment horizontal="left"/>
    </xf>
    <xf numFmtId="0" fontId="2" fillId="0" borderId="0" xfId="0" applyFont="1" applyBorder="1"/>
    <xf numFmtId="43" fontId="2" fillId="0" borderId="0" xfId="0" applyNumberFormat="1" applyFont="1" applyBorder="1"/>
    <xf numFmtId="43" fontId="2" fillId="0" borderId="0" xfId="1" applyFont="1" applyBorder="1"/>
    <xf numFmtId="0" fontId="11" fillId="0" borderId="0" xfId="0" applyFont="1" applyBorder="1"/>
    <xf numFmtId="0" fontId="3" fillId="0" borderId="0" xfId="0" applyFont="1" applyBorder="1" applyAlignment="1">
      <alignment horizontal="center"/>
    </xf>
    <xf numFmtId="43" fontId="2" fillId="0" borderId="17" xfId="0" applyNumberFormat="1" applyFont="1" applyBorder="1"/>
    <xf numFmtId="43" fontId="3" fillId="0" borderId="16" xfId="0" applyNumberFormat="1" applyFont="1" applyBorder="1"/>
    <xf numFmtId="0" fontId="2" fillId="0" borderId="17" xfId="0" applyFont="1" applyBorder="1"/>
    <xf numFmtId="0" fontId="2" fillId="0" borderId="0" xfId="0" applyFont="1" applyAlignment="1">
      <alignment horizontal="center"/>
    </xf>
    <xf numFmtId="49" fontId="2" fillId="3" borderId="1" xfId="0" applyNumberFormat="1" applyFont="1" applyFill="1" applyBorder="1"/>
    <xf numFmtId="43" fontId="2" fillId="3" borderId="1" xfId="1" applyFont="1" applyFill="1" applyBorder="1"/>
    <xf numFmtId="49" fontId="2" fillId="3" borderId="1" xfId="1" applyNumberFormat="1" applyFont="1" applyFill="1" applyBorder="1"/>
    <xf numFmtId="43" fontId="2" fillId="5" borderId="1" xfId="1" applyFont="1" applyFill="1" applyBorder="1"/>
    <xf numFmtId="49" fontId="2" fillId="5" borderId="1" xfId="1" applyNumberFormat="1" applyFont="1" applyFill="1" applyBorder="1"/>
    <xf numFmtId="49" fontId="2" fillId="5" borderId="1" xfId="0" applyNumberFormat="1" applyFont="1" applyFill="1" applyBorder="1" applyAlignment="1">
      <alignment horizontal="center"/>
    </xf>
    <xf numFmtId="43" fontId="2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49" fontId="9" fillId="2" borderId="1" xfId="1" applyNumberFormat="1" applyFont="1" applyFill="1" applyBorder="1"/>
    <xf numFmtId="49" fontId="12" fillId="0" borderId="1" xfId="1" applyNumberFormat="1" applyFont="1" applyBorder="1"/>
    <xf numFmtId="49" fontId="13" fillId="0" borderId="1" xfId="1" applyNumberFormat="1" applyFont="1" applyBorder="1"/>
    <xf numFmtId="43" fontId="2" fillId="0" borderId="1" xfId="0" applyNumberFormat="1" applyFont="1" applyBorder="1"/>
    <xf numFmtId="0" fontId="2" fillId="0" borderId="14" xfId="0" applyFont="1" applyBorder="1" applyAlignment="1">
      <alignment horizontal="right"/>
    </xf>
    <xf numFmtId="43" fontId="2" fillId="0" borderId="15" xfId="0" applyNumberFormat="1" applyFont="1" applyBorder="1" applyAlignment="1">
      <alignment horizontal="right"/>
    </xf>
    <xf numFmtId="43" fontId="2" fillId="0" borderId="14" xfId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" fillId="0" borderId="1" xfId="1" applyFont="1" applyBorder="1"/>
    <xf numFmtId="0" fontId="3" fillId="0" borderId="13" xfId="0" applyFont="1" applyBorder="1"/>
    <xf numFmtId="0" fontId="11" fillId="0" borderId="13" xfId="0" applyFont="1" applyBorder="1" applyAlignment="1">
      <alignment horizontal="left"/>
    </xf>
    <xf numFmtId="43" fontId="2" fillId="0" borderId="14" xfId="0" applyNumberFormat="1" applyFont="1" applyBorder="1" applyAlignment="1">
      <alignment horizontal="right"/>
    </xf>
    <xf numFmtId="0" fontId="11" fillId="0" borderId="17" xfId="0" applyFont="1" applyBorder="1" applyAlignment="1">
      <alignment horizontal="left"/>
    </xf>
    <xf numFmtId="43" fontId="2" fillId="0" borderId="16" xfId="0" applyNumberFormat="1" applyFont="1" applyBorder="1" applyAlignment="1">
      <alignment horizontal="right"/>
    </xf>
    <xf numFmtId="43" fontId="3" fillId="0" borderId="19" xfId="0" applyNumberFormat="1" applyFont="1" applyBorder="1"/>
    <xf numFmtId="43" fontId="3" fillId="0" borderId="18" xfId="0" applyNumberFormat="1" applyFont="1" applyBorder="1"/>
    <xf numFmtId="0" fontId="14" fillId="0" borderId="0" xfId="0" applyFont="1"/>
    <xf numFmtId="43" fontId="14" fillId="0" borderId="0" xfId="1" applyFont="1"/>
    <xf numFmtId="43" fontId="3" fillId="4" borderId="1" xfId="1" applyFont="1" applyFill="1" applyBorder="1"/>
    <xf numFmtId="49" fontId="3" fillId="4" borderId="1" xfId="1" applyNumberFormat="1" applyFont="1" applyFill="1" applyBorder="1"/>
    <xf numFmtId="49" fontId="3" fillId="4" borderId="1" xfId="0" applyNumberFormat="1" applyFont="1" applyFill="1" applyBorder="1"/>
    <xf numFmtId="43" fontId="14" fillId="0" borderId="0" xfId="0" applyNumberFormat="1" applyFont="1"/>
    <xf numFmtId="0" fontId="15" fillId="0" borderId="1" xfId="0" applyFont="1" applyBorder="1" applyAlignment="1">
      <alignment horizontal="center"/>
    </xf>
    <xf numFmtId="43" fontId="15" fillId="0" borderId="16" xfId="1" applyFont="1" applyBorder="1"/>
    <xf numFmtId="0" fontId="14" fillId="0" borderId="8" xfId="0" applyFont="1" applyBorder="1"/>
    <xf numFmtId="0" fontId="15" fillId="0" borderId="3" xfId="0" applyFont="1" applyBorder="1" applyAlignment="1">
      <alignment horizontal="center"/>
    </xf>
    <xf numFmtId="0" fontId="15" fillId="0" borderId="20" xfId="0" applyFont="1" applyBorder="1"/>
    <xf numFmtId="49" fontId="4" fillId="6" borderId="1" xfId="0" applyNumberFormat="1" applyFont="1" applyFill="1" applyBorder="1"/>
    <xf numFmtId="43" fontId="6" fillId="6" borderId="1" xfId="1" applyFont="1" applyFill="1" applyBorder="1"/>
    <xf numFmtId="49" fontId="4" fillId="6" borderId="1" xfId="1" applyNumberFormat="1" applyFont="1" applyFill="1" applyBorder="1"/>
    <xf numFmtId="49" fontId="2" fillId="6" borderId="1" xfId="0" applyNumberFormat="1" applyFont="1" applyFill="1" applyBorder="1"/>
    <xf numFmtId="43" fontId="2" fillId="6" borderId="1" xfId="1" applyFont="1" applyFill="1" applyBorder="1"/>
    <xf numFmtId="49" fontId="2" fillId="6" borderId="1" xfId="1" applyNumberFormat="1" applyFont="1" applyFill="1" applyBorder="1"/>
    <xf numFmtId="49" fontId="2" fillId="7" borderId="1" xfId="0" applyNumberFormat="1" applyFont="1" applyFill="1" applyBorder="1"/>
    <xf numFmtId="43" fontId="2" fillId="7" borderId="1" xfId="1" applyFont="1" applyFill="1" applyBorder="1"/>
    <xf numFmtId="49" fontId="2" fillId="7" borderId="1" xfId="1" applyNumberFormat="1" applyFont="1" applyFill="1" applyBorder="1"/>
    <xf numFmtId="43" fontId="3" fillId="3" borderId="1" xfId="1" applyFont="1" applyFill="1" applyBorder="1"/>
    <xf numFmtId="49" fontId="3" fillId="3" borderId="1" xfId="1" applyNumberFormat="1" applyFont="1" applyFill="1" applyBorder="1"/>
    <xf numFmtId="49" fontId="3" fillId="3" borderId="1" xfId="0" applyNumberFormat="1" applyFont="1" applyFill="1" applyBorder="1"/>
    <xf numFmtId="49" fontId="2" fillId="6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43" fontId="3" fillId="3" borderId="1" xfId="0" applyNumberFormat="1" applyFont="1" applyFill="1" applyBorder="1"/>
    <xf numFmtId="49" fontId="5" fillId="6" borderId="1" xfId="0" applyNumberFormat="1" applyFont="1" applyFill="1" applyBorder="1"/>
    <xf numFmtId="49" fontId="5" fillId="6" borderId="1" xfId="1" applyNumberFormat="1" applyFont="1" applyFill="1" applyBorder="1"/>
    <xf numFmtId="49" fontId="2" fillId="6" borderId="7" xfId="0" applyNumberFormat="1" applyFont="1" applyFill="1" applyBorder="1"/>
    <xf numFmtId="43" fontId="2" fillId="6" borderId="7" xfId="1" applyFont="1" applyFill="1" applyBorder="1"/>
    <xf numFmtId="49" fontId="2" fillId="6" borderId="1" xfId="0" applyNumberFormat="1" applyFont="1" applyFill="1" applyBorder="1" applyAlignment="1">
      <alignment horizontal="center"/>
    </xf>
    <xf numFmtId="49" fontId="2" fillId="6" borderId="8" xfId="0" applyNumberFormat="1" applyFont="1" applyFill="1" applyBorder="1"/>
    <xf numFmtId="43" fontId="2" fillId="6" borderId="1" xfId="0" applyNumberFormat="1" applyFont="1" applyFill="1" applyBorder="1"/>
    <xf numFmtId="0" fontId="2" fillId="6" borderId="1" xfId="0" applyFont="1" applyFill="1" applyBorder="1"/>
    <xf numFmtId="49" fontId="7" fillId="0" borderId="1" xfId="0" applyNumberFormat="1" applyFont="1" applyBorder="1"/>
    <xf numFmtId="0" fontId="2" fillId="0" borderId="9" xfId="0" applyFont="1" applyBorder="1"/>
    <xf numFmtId="43" fontId="2" fillId="0" borderId="9" xfId="0" applyNumberFormat="1" applyFont="1" applyBorder="1"/>
    <xf numFmtId="43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43" fontId="2" fillId="0" borderId="9" xfId="1" applyFont="1" applyBorder="1"/>
    <xf numFmtId="43" fontId="3" fillId="0" borderId="14" xfId="1" applyFont="1" applyBorder="1"/>
    <xf numFmtId="43" fontId="2" fillId="0" borderId="16" xfId="1" applyFont="1" applyBorder="1"/>
    <xf numFmtId="43" fontId="2" fillId="0" borderId="0" xfId="0" applyNumberFormat="1" applyFont="1"/>
    <xf numFmtId="43" fontId="2" fillId="0" borderId="9" xfId="1" applyFont="1" applyBorder="1" applyAlignment="1">
      <alignment horizontal="right"/>
    </xf>
    <xf numFmtId="43" fontId="10" fillId="0" borderId="9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0" fontId="3" fillId="2" borderId="13" xfId="0" applyFont="1" applyFill="1" applyBorder="1"/>
    <xf numFmtId="43" fontId="2" fillId="2" borderId="17" xfId="0" applyNumberFormat="1" applyFont="1" applyFill="1" applyBorder="1"/>
    <xf numFmtId="43" fontId="2" fillId="2" borderId="14" xfId="0" applyNumberFormat="1" applyFont="1" applyFill="1" applyBorder="1"/>
    <xf numFmtId="43" fontId="2" fillId="2" borderId="9" xfId="0" applyNumberFormat="1" applyFont="1" applyFill="1" applyBorder="1"/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13" xfId="0" applyFont="1" applyBorder="1"/>
    <xf numFmtId="43" fontId="14" fillId="0" borderId="13" xfId="1" applyFont="1" applyBorder="1"/>
    <xf numFmtId="0" fontId="14" fillId="0" borderId="14" xfId="0" applyFont="1" applyBorder="1"/>
    <xf numFmtId="43" fontId="14" fillId="0" borderId="14" xfId="1" applyFont="1" applyBorder="1"/>
    <xf numFmtId="43" fontId="14" fillId="0" borderId="14" xfId="1" applyFont="1" applyBorder="1" applyAlignment="1">
      <alignment horizontal="right"/>
    </xf>
    <xf numFmtId="0" fontId="15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3" fontId="14" fillId="0" borderId="9" xfId="1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3" fontId="3" fillId="0" borderId="10" xfId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43" fontId="3" fillId="0" borderId="11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3"/>
  <sheetViews>
    <sheetView view="pageBreakPreview" zoomScaleSheetLayoutView="100" workbookViewId="0">
      <selection activeCell="G14" sqref="G14"/>
    </sheetView>
  </sheetViews>
  <sheetFormatPr defaultRowHeight="13.8" x14ac:dyDescent="0.25"/>
  <cols>
    <col min="1" max="1" width="55.3984375" customWidth="1"/>
    <col min="2" max="2" width="12.69921875" customWidth="1"/>
    <col min="3" max="3" width="2.19921875" customWidth="1"/>
    <col min="4" max="4" width="11.59765625" customWidth="1"/>
    <col min="5" max="5" width="1.69921875" customWidth="1"/>
    <col min="6" max="6" width="11.19921875" customWidth="1"/>
    <col min="7" max="7" width="11.5" customWidth="1"/>
    <col min="8" max="8" width="12.59765625" customWidth="1"/>
    <col min="9" max="9" width="12.19921875" customWidth="1"/>
    <col min="10" max="10" width="11.8984375" customWidth="1"/>
  </cols>
  <sheetData>
    <row r="1" spans="1:22" ht="18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87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x14ac:dyDescent="0.35">
      <c r="A2" s="174" t="s">
        <v>73</v>
      </c>
      <c r="B2" s="174"/>
      <c r="C2" s="174"/>
      <c r="D2" s="174"/>
      <c r="E2" s="174"/>
      <c r="F2" s="174"/>
      <c r="G2" s="174"/>
      <c r="H2" s="174"/>
      <c r="I2" s="174"/>
      <c r="J2" s="17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x14ac:dyDescent="0.35">
      <c r="A3" s="174" t="s">
        <v>241</v>
      </c>
      <c r="B3" s="174"/>
      <c r="C3" s="174"/>
      <c r="D3" s="174"/>
      <c r="E3" s="174"/>
      <c r="F3" s="174"/>
      <c r="G3" s="174"/>
      <c r="H3" s="174"/>
      <c r="I3" s="174"/>
      <c r="J3" s="17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x14ac:dyDescent="0.35">
      <c r="A4" s="6"/>
      <c r="B4" s="8"/>
      <c r="C4" s="3"/>
      <c r="D4" s="10"/>
      <c r="E4" s="3"/>
      <c r="F4" s="10"/>
      <c r="G4" s="12" t="s">
        <v>2</v>
      </c>
      <c r="H4" s="13" t="s">
        <v>6</v>
      </c>
      <c r="I4" s="12" t="s">
        <v>7</v>
      </c>
      <c r="J4" s="62" t="s">
        <v>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x14ac:dyDescent="0.35">
      <c r="A5" s="7" t="s">
        <v>11</v>
      </c>
      <c r="B5" s="9" t="s">
        <v>2</v>
      </c>
      <c r="C5" s="4"/>
      <c r="D5" s="11" t="s">
        <v>3</v>
      </c>
      <c r="E5" s="4"/>
      <c r="F5" s="11" t="s">
        <v>4</v>
      </c>
      <c r="G5" s="9" t="s">
        <v>5</v>
      </c>
      <c r="H5" s="9" t="s">
        <v>2</v>
      </c>
      <c r="I5" s="14"/>
      <c r="J5" s="62" t="s">
        <v>74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8" x14ac:dyDescent="0.35">
      <c r="A6" s="28" t="s">
        <v>285</v>
      </c>
      <c r="B6" s="21"/>
      <c r="C6" s="21"/>
      <c r="D6" s="21"/>
      <c r="E6" s="50"/>
      <c r="F6" s="21"/>
      <c r="G6" s="21"/>
      <c r="H6" s="21"/>
      <c r="I6" s="21"/>
      <c r="J6" s="2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x14ac:dyDescent="0.35">
      <c r="A7" s="16" t="s">
        <v>97</v>
      </c>
      <c r="B7" s="21"/>
      <c r="C7" s="21"/>
      <c r="D7" s="21"/>
      <c r="E7" s="50"/>
      <c r="F7" s="21"/>
      <c r="G7" s="21"/>
      <c r="H7" s="21"/>
      <c r="I7" s="21"/>
      <c r="J7" s="2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x14ac:dyDescent="0.35">
      <c r="A8" s="16" t="s">
        <v>98</v>
      </c>
      <c r="B8" s="21">
        <v>30000</v>
      </c>
      <c r="C8" s="21"/>
      <c r="D8" s="21"/>
      <c r="E8" s="50"/>
      <c r="F8" s="21"/>
      <c r="G8" s="21">
        <f>B8+D8-F8</f>
        <v>30000</v>
      </c>
      <c r="H8" s="21">
        <f>G8-I8</f>
        <v>0</v>
      </c>
      <c r="I8" s="21">
        <f>SUM(J8)</f>
        <v>30000</v>
      </c>
      <c r="J8" s="21">
        <v>30000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x14ac:dyDescent="0.35">
      <c r="A9" s="16" t="s">
        <v>286</v>
      </c>
      <c r="B9" s="21">
        <v>30000</v>
      </c>
      <c r="C9" s="21"/>
      <c r="D9" s="21"/>
      <c r="E9" s="50"/>
      <c r="F9" s="21"/>
      <c r="G9" s="21">
        <f>B9+D9-F9</f>
        <v>30000</v>
      </c>
      <c r="H9" s="21">
        <f>G9-I9</f>
        <v>30000</v>
      </c>
      <c r="I9" s="21">
        <f>SUM(J9)</f>
        <v>0</v>
      </c>
      <c r="J9" s="21" t="s">
        <v>222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8" x14ac:dyDescent="0.35">
      <c r="A10" s="130"/>
      <c r="B10" s="131">
        <f>SUM(B8:B9)</f>
        <v>60000</v>
      </c>
      <c r="C10" s="131"/>
      <c r="D10" s="131">
        <f>SUM(D8:D9)</f>
        <v>0</v>
      </c>
      <c r="E10" s="132"/>
      <c r="F10" s="131">
        <f>SUM(F8:F9)</f>
        <v>0</v>
      </c>
      <c r="G10" s="131">
        <f>SUM(G8:G9)</f>
        <v>60000</v>
      </c>
      <c r="H10" s="131">
        <f>SUM(H8:H9)</f>
        <v>30000</v>
      </c>
      <c r="I10" s="131">
        <f>SUM(I8:I9)</f>
        <v>30000</v>
      </c>
      <c r="J10" s="131">
        <f>SUM(J8:J9)</f>
        <v>30000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8" x14ac:dyDescent="0.35">
      <c r="A11" s="28" t="s">
        <v>262</v>
      </c>
      <c r="B11" s="18"/>
      <c r="C11" s="18"/>
      <c r="D11" s="18"/>
      <c r="E11" s="47"/>
      <c r="F11" s="18"/>
      <c r="G11" s="18"/>
      <c r="H11" s="18"/>
      <c r="I11" s="18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8" x14ac:dyDescent="0.35">
      <c r="A12" s="16" t="s">
        <v>75</v>
      </c>
      <c r="B12" s="18">
        <v>239000</v>
      </c>
      <c r="C12" s="18"/>
      <c r="D12" s="18"/>
      <c r="E12" s="47">
        <v>1</v>
      </c>
      <c r="F12" s="18">
        <v>134000</v>
      </c>
      <c r="G12" s="21">
        <f>B12+D12-F12</f>
        <v>105000</v>
      </c>
      <c r="H12" s="21">
        <f>G12-I12</f>
        <v>5000</v>
      </c>
      <c r="I12" s="21">
        <f>SUM(J12)</f>
        <v>100000</v>
      </c>
      <c r="J12" s="63">
        <v>100000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8" x14ac:dyDescent="0.35">
      <c r="A13" s="130"/>
      <c r="B13" s="131">
        <f>SUM(B12)</f>
        <v>239000</v>
      </c>
      <c r="C13" s="131"/>
      <c r="D13" s="131">
        <f>SUM(D12)</f>
        <v>0</v>
      </c>
      <c r="E13" s="132"/>
      <c r="F13" s="131">
        <f>SUM(F12)</f>
        <v>134000</v>
      </c>
      <c r="G13" s="131">
        <f>SUM(G12)</f>
        <v>105000</v>
      </c>
      <c r="H13" s="131">
        <f>SUM(H12)</f>
        <v>5000</v>
      </c>
      <c r="I13" s="131">
        <f>SUM(I12)</f>
        <v>100000</v>
      </c>
      <c r="J13" s="131">
        <f>SUM(J12)</f>
        <v>100000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x14ac:dyDescent="0.35">
      <c r="A14" s="88" t="s">
        <v>100</v>
      </c>
      <c r="B14" s="89">
        <f>B10+B13</f>
        <v>299000</v>
      </c>
      <c r="C14" s="89"/>
      <c r="D14" s="89">
        <f>D10+D13</f>
        <v>0</v>
      </c>
      <c r="E14" s="90"/>
      <c r="F14" s="89">
        <f>F10+F13</f>
        <v>134000</v>
      </c>
      <c r="G14" s="89">
        <f>G10+G13</f>
        <v>165000</v>
      </c>
      <c r="H14" s="89">
        <f>H10+H13</f>
        <v>35000</v>
      </c>
      <c r="I14" s="89">
        <f t="shared" ref="I14:J14" si="0">I10+I13</f>
        <v>130000</v>
      </c>
      <c r="J14" s="89">
        <f t="shared" si="0"/>
        <v>130000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x14ac:dyDescent="0.35">
      <c r="A15" s="16"/>
      <c r="B15" s="18"/>
      <c r="C15" s="18"/>
      <c r="D15" s="18"/>
      <c r="E15" s="47"/>
      <c r="F15" s="18"/>
      <c r="G15" s="18"/>
      <c r="H15" s="18"/>
      <c r="I15" s="18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x14ac:dyDescent="0.35">
      <c r="A16" s="16"/>
      <c r="B16" s="18"/>
      <c r="C16" s="18"/>
      <c r="D16" s="18"/>
      <c r="E16" s="18"/>
      <c r="F16" s="18"/>
      <c r="G16" s="18"/>
      <c r="H16" s="18"/>
      <c r="I16" s="18"/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x14ac:dyDescent="0.35">
      <c r="A17" s="16"/>
      <c r="B17" s="18"/>
      <c r="C17" s="18"/>
      <c r="D17" s="18"/>
      <c r="E17" s="18"/>
      <c r="F17" s="18"/>
      <c r="G17" s="18"/>
      <c r="H17" s="18"/>
      <c r="I17" s="18"/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x14ac:dyDescent="0.35">
      <c r="A18" s="16"/>
      <c r="B18" s="18"/>
      <c r="C18" s="18"/>
      <c r="D18" s="18"/>
      <c r="E18" s="18"/>
      <c r="F18" s="18"/>
      <c r="G18" s="18"/>
      <c r="H18" s="18"/>
      <c r="I18" s="18"/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x14ac:dyDescent="0.35">
      <c r="A19" s="16"/>
      <c r="B19" s="18"/>
      <c r="C19" s="18"/>
      <c r="D19" s="18"/>
      <c r="E19" s="18"/>
      <c r="F19" s="18"/>
      <c r="G19" s="18"/>
      <c r="H19" s="18"/>
      <c r="I19" s="18"/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x14ac:dyDescent="0.35">
      <c r="A20" s="16"/>
      <c r="B20" s="18"/>
      <c r="C20" s="18"/>
      <c r="D20" s="18"/>
      <c r="E20" s="18"/>
      <c r="F20" s="18"/>
      <c r="G20" s="18"/>
      <c r="H20" s="18"/>
      <c r="I20" s="18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x14ac:dyDescent="0.35">
      <c r="A21" s="16"/>
      <c r="B21" s="18"/>
      <c r="C21" s="18"/>
      <c r="D21" s="18"/>
      <c r="E21" s="18"/>
      <c r="F21" s="18"/>
      <c r="G21" s="18"/>
      <c r="H21" s="18"/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x14ac:dyDescent="0.35">
      <c r="A22" s="16"/>
      <c r="B22" s="18"/>
      <c r="C22" s="18"/>
      <c r="D22" s="18"/>
      <c r="E22" s="18"/>
      <c r="F22" s="18"/>
      <c r="G22" s="18"/>
      <c r="H22" s="18"/>
      <c r="I22" s="18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x14ac:dyDescent="0.35">
      <c r="A23" s="16"/>
      <c r="B23" s="18"/>
      <c r="C23" s="18"/>
      <c r="D23" s="18"/>
      <c r="E23" s="18"/>
      <c r="F23" s="18"/>
      <c r="G23" s="18"/>
      <c r="H23" s="18"/>
      <c r="I23" s="18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x14ac:dyDescent="0.35">
      <c r="A24" s="16"/>
      <c r="B24" s="18"/>
      <c r="C24" s="18"/>
      <c r="D24" s="18"/>
      <c r="E24" s="18"/>
      <c r="F24" s="18"/>
      <c r="G24" s="18"/>
      <c r="H24" s="18"/>
      <c r="I24" s="18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x14ac:dyDescent="0.35">
      <c r="A25" s="16"/>
      <c r="B25" s="18"/>
      <c r="C25" s="18"/>
      <c r="D25" s="18"/>
      <c r="E25" s="18"/>
      <c r="F25" s="18"/>
      <c r="G25" s="18"/>
      <c r="H25" s="18"/>
      <c r="I25" s="18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x14ac:dyDescent="0.35">
      <c r="A26" s="16"/>
      <c r="B26" s="18"/>
      <c r="C26" s="18"/>
      <c r="D26" s="18"/>
      <c r="E26" s="18"/>
      <c r="F26" s="18"/>
      <c r="G26" s="18"/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x14ac:dyDescent="0.35">
      <c r="A27" s="16"/>
      <c r="B27" s="18"/>
      <c r="C27" s="18"/>
      <c r="D27" s="18"/>
      <c r="E27" s="18"/>
      <c r="F27" s="18"/>
      <c r="G27" s="18"/>
      <c r="H27" s="18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x14ac:dyDescent="0.35">
      <c r="A28" s="16"/>
      <c r="B28" s="18"/>
      <c r="C28" s="18"/>
      <c r="D28" s="18"/>
      <c r="E28" s="18"/>
      <c r="F28" s="18"/>
      <c r="G28" s="18"/>
      <c r="H28" s="18"/>
      <c r="I28" s="18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x14ac:dyDescent="0.35">
      <c r="A29" s="16"/>
      <c r="B29" s="18"/>
      <c r="C29" s="18"/>
      <c r="D29" s="18"/>
      <c r="E29" s="18"/>
      <c r="F29" s="18"/>
      <c r="G29" s="18"/>
      <c r="H29" s="18"/>
      <c r="I29" s="18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x14ac:dyDescent="0.35">
      <c r="A30" s="16"/>
      <c r="B30" s="18"/>
      <c r="C30" s="18"/>
      <c r="D30" s="18"/>
      <c r="E30" s="18"/>
      <c r="F30" s="18"/>
      <c r="G30" s="18"/>
      <c r="H30" s="18"/>
      <c r="I30" s="18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x14ac:dyDescent="0.35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x14ac:dyDescent="0.35">
      <c r="A32" s="16"/>
      <c r="B32" s="18"/>
      <c r="C32" s="18"/>
      <c r="D32" s="18"/>
      <c r="E32" s="18"/>
      <c r="F32" s="18"/>
      <c r="G32" s="18"/>
      <c r="H32" s="18"/>
      <c r="I32" s="18"/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x14ac:dyDescent="0.35">
      <c r="A33" s="16"/>
      <c r="B33" s="18"/>
      <c r="C33" s="18"/>
      <c r="D33" s="18"/>
      <c r="E33" s="18"/>
      <c r="F33" s="18"/>
      <c r="G33" s="18"/>
      <c r="H33" s="18"/>
      <c r="I33" s="18"/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</sheetData>
  <mergeCells count="3">
    <mergeCell ref="A1:J1"/>
    <mergeCell ref="A2:J2"/>
    <mergeCell ref="A3:J3"/>
  </mergeCells>
  <pageMargins left="0.99" right="0.19685039370078741" top="0.31496062992125984" bottom="0.23622047244094491" header="0.31496062992125984" footer="0.23622047244094491"/>
  <pageSetup paperSize="5" orientation="landscape" horizontalDpi="4294967293" r:id="rId1"/>
  <rowBreaks count="1" manualBreakCount="1">
    <brk id="1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9"/>
  <sheetViews>
    <sheetView view="pageBreakPreview" zoomScaleSheetLayoutView="100" workbookViewId="0">
      <selection activeCell="D8" sqref="D8"/>
    </sheetView>
  </sheetViews>
  <sheetFormatPr defaultRowHeight="13.8" x14ac:dyDescent="0.25"/>
  <cols>
    <col min="1" max="1" width="55.3984375" customWidth="1"/>
    <col min="2" max="2" width="12.69921875" customWidth="1"/>
    <col min="3" max="3" width="2.19921875" customWidth="1"/>
    <col min="4" max="4" width="11.59765625" customWidth="1"/>
    <col min="5" max="5" width="1.69921875" customWidth="1"/>
    <col min="6" max="6" width="11.19921875" customWidth="1"/>
    <col min="7" max="7" width="11.5" customWidth="1"/>
    <col min="8" max="8" width="12.59765625" customWidth="1"/>
    <col min="9" max="9" width="12.19921875" customWidth="1"/>
    <col min="10" max="10" width="11.8984375" customWidth="1"/>
    <col min="11" max="11" width="11.59765625" customWidth="1"/>
  </cols>
  <sheetData>
    <row r="1" spans="1:23" x14ac:dyDescent="0.25">
      <c r="L1">
        <v>2</v>
      </c>
    </row>
    <row r="2" spans="1:23" ht="18" x14ac:dyDescent="0.35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x14ac:dyDescent="0.35">
      <c r="A3" s="174" t="s">
        <v>69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" x14ac:dyDescent="0.35">
      <c r="A4" s="174" t="s">
        <v>241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" x14ac:dyDescent="0.35">
      <c r="A5" s="6"/>
      <c r="B5" s="8"/>
      <c r="C5" s="3"/>
      <c r="D5" s="10"/>
      <c r="E5" s="3"/>
      <c r="F5" s="10"/>
      <c r="G5" s="12" t="s">
        <v>2</v>
      </c>
      <c r="H5" s="13" t="s">
        <v>6</v>
      </c>
      <c r="I5" s="12" t="s">
        <v>7</v>
      </c>
      <c r="J5" s="175" t="s">
        <v>8</v>
      </c>
      <c r="K5" s="17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" x14ac:dyDescent="0.35">
      <c r="A6" s="7" t="s">
        <v>11</v>
      </c>
      <c r="B6" s="9" t="s">
        <v>2</v>
      </c>
      <c r="C6" s="49"/>
      <c r="D6" s="11" t="s">
        <v>3</v>
      </c>
      <c r="E6" s="4"/>
      <c r="F6" s="11" t="s">
        <v>4</v>
      </c>
      <c r="G6" s="9" t="s">
        <v>5</v>
      </c>
      <c r="H6" s="9" t="s">
        <v>2</v>
      </c>
      <c r="I6" s="14"/>
      <c r="J6" s="29" t="s">
        <v>15</v>
      </c>
      <c r="K6" s="29" t="s">
        <v>70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 x14ac:dyDescent="0.35">
      <c r="A7" s="95" t="s">
        <v>251</v>
      </c>
      <c r="B7" s="5"/>
      <c r="C7" s="16"/>
      <c r="D7" s="5"/>
      <c r="E7" s="16"/>
      <c r="F7" s="5"/>
      <c r="G7" s="5"/>
      <c r="H7" s="5"/>
      <c r="I7" s="5"/>
      <c r="J7" s="5"/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x14ac:dyDescent="0.35">
      <c r="A8" s="22" t="s">
        <v>153</v>
      </c>
      <c r="B8" s="18">
        <v>192360</v>
      </c>
      <c r="C8" s="148" t="s">
        <v>371</v>
      </c>
      <c r="D8" s="18">
        <f>2880+23503</f>
        <v>26383</v>
      </c>
      <c r="E8" s="16"/>
      <c r="F8" s="18"/>
      <c r="G8" s="18">
        <f>B8+D8-F8</f>
        <v>218743</v>
      </c>
      <c r="H8" s="18">
        <f>G8-I8</f>
        <v>4993</v>
      </c>
      <c r="I8" s="18">
        <f>SUM(J8:K8)</f>
        <v>213750</v>
      </c>
      <c r="J8" s="18">
        <v>213750</v>
      </c>
      <c r="K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" x14ac:dyDescent="0.35">
      <c r="A9" s="16" t="s">
        <v>156</v>
      </c>
      <c r="B9" s="18">
        <v>99120</v>
      </c>
      <c r="C9" s="16" t="s">
        <v>372</v>
      </c>
      <c r="D9" s="18">
        <v>22830</v>
      </c>
      <c r="E9" s="16"/>
      <c r="F9" s="18"/>
      <c r="G9" s="18">
        <f t="shared" ref="G9:G10" si="0">B9+D9-F9</f>
        <v>121950</v>
      </c>
      <c r="H9" s="18">
        <f t="shared" ref="H9" si="1">G9-I9</f>
        <v>0</v>
      </c>
      <c r="I9" s="18">
        <v>121950</v>
      </c>
      <c r="J9" s="18">
        <v>121950</v>
      </c>
      <c r="K9" s="1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" x14ac:dyDescent="0.35">
      <c r="A10" s="16" t="s">
        <v>157</v>
      </c>
      <c r="B10" s="18">
        <v>18000</v>
      </c>
      <c r="C10" s="16"/>
      <c r="D10" s="18"/>
      <c r="E10" s="16"/>
      <c r="F10" s="18"/>
      <c r="G10" s="18">
        <f t="shared" si="0"/>
        <v>18000</v>
      </c>
      <c r="H10" s="18">
        <f>G10-I10</f>
        <v>105</v>
      </c>
      <c r="I10" s="18">
        <f t="shared" ref="I10" si="2">SUM(J10:K10)</f>
        <v>17895</v>
      </c>
      <c r="J10" s="18">
        <v>17895</v>
      </c>
      <c r="K10" s="1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" x14ac:dyDescent="0.35">
      <c r="A11" s="130"/>
      <c r="B11" s="131">
        <f>SUM(B8:B10)</f>
        <v>309480</v>
      </c>
      <c r="C11" s="130"/>
      <c r="D11" s="131">
        <f>SUM(D8:D10)</f>
        <v>49213</v>
      </c>
      <c r="E11" s="130"/>
      <c r="F11" s="131">
        <f>SUM(F8:F10)</f>
        <v>0</v>
      </c>
      <c r="G11" s="131">
        <f>SUM(G8:G10)</f>
        <v>358693</v>
      </c>
      <c r="H11" s="131">
        <f>SUM(H8:H10)</f>
        <v>5098</v>
      </c>
      <c r="I11" s="131">
        <f>SUM(I8:I10)</f>
        <v>353595</v>
      </c>
      <c r="J11" s="131">
        <f>SUM(J8:J10)</f>
        <v>353595</v>
      </c>
      <c r="K11" s="131">
        <f t="shared" ref="K11" si="3">SUM(K8:K10)</f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" x14ac:dyDescent="0.35">
      <c r="A12" s="28" t="s">
        <v>114</v>
      </c>
      <c r="B12" s="18"/>
      <c r="C12" s="16"/>
      <c r="D12" s="18"/>
      <c r="E12" s="16"/>
      <c r="F12" s="18"/>
      <c r="G12" s="18"/>
      <c r="H12" s="18"/>
      <c r="I12" s="18"/>
      <c r="J12" s="18"/>
      <c r="K12" s="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" x14ac:dyDescent="0.35">
      <c r="A13" s="16" t="s">
        <v>158</v>
      </c>
      <c r="B13" s="18">
        <v>15000</v>
      </c>
      <c r="C13" s="16"/>
      <c r="D13" s="18"/>
      <c r="E13" s="16" t="s">
        <v>372</v>
      </c>
      <c r="F13" s="18">
        <v>10200</v>
      </c>
      <c r="G13" s="18">
        <f t="shared" ref="G13:G14" si="4">B13+D13-F13</f>
        <v>4800</v>
      </c>
      <c r="H13" s="18">
        <f t="shared" ref="H13:H14" si="5">G13-I13</f>
        <v>0</v>
      </c>
      <c r="I13" s="18">
        <f t="shared" ref="I13:I14" si="6">SUM(J13:K13)</f>
        <v>4800</v>
      </c>
      <c r="J13" s="18">
        <v>4800</v>
      </c>
      <c r="K13" s="1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" x14ac:dyDescent="0.35">
      <c r="A14" s="16" t="s">
        <v>159</v>
      </c>
      <c r="B14" s="18">
        <v>5000</v>
      </c>
      <c r="C14" s="16"/>
      <c r="D14" s="18"/>
      <c r="E14" s="16" t="s">
        <v>372</v>
      </c>
      <c r="F14" s="18">
        <v>5000</v>
      </c>
      <c r="G14" s="18">
        <f t="shared" si="4"/>
        <v>0</v>
      </c>
      <c r="H14" s="18">
        <f t="shared" si="5"/>
        <v>0</v>
      </c>
      <c r="I14" s="18">
        <f t="shared" si="6"/>
        <v>0</v>
      </c>
      <c r="J14" s="18"/>
      <c r="K14" s="1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" x14ac:dyDescent="0.35">
      <c r="A15" s="127"/>
      <c r="B15" s="128">
        <f>SUM(B13:B14)</f>
        <v>20000</v>
      </c>
      <c r="C15" s="127"/>
      <c r="D15" s="128">
        <f>SUM(D13:D14)</f>
        <v>0</v>
      </c>
      <c r="E15" s="127"/>
      <c r="F15" s="128">
        <f t="shared" ref="F15:K15" si="7">SUM(F13:F14)</f>
        <v>15200</v>
      </c>
      <c r="G15" s="128">
        <f t="shared" si="7"/>
        <v>4800</v>
      </c>
      <c r="H15" s="128">
        <f t="shared" si="7"/>
        <v>0</v>
      </c>
      <c r="I15" s="128">
        <f>SUM(I13:I14)</f>
        <v>4800</v>
      </c>
      <c r="J15" s="128">
        <f t="shared" si="7"/>
        <v>4800</v>
      </c>
      <c r="K15" s="128">
        <f t="shared" si="7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" x14ac:dyDescent="0.35">
      <c r="A16" s="95" t="s">
        <v>264</v>
      </c>
      <c r="B16" s="5"/>
      <c r="C16" s="16"/>
      <c r="D16" s="5"/>
      <c r="E16" s="16"/>
      <c r="F16" s="5"/>
      <c r="G16" s="5"/>
      <c r="H16" s="5"/>
      <c r="I16" s="5"/>
      <c r="J16" s="5"/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x14ac:dyDescent="0.35">
      <c r="A17" s="16" t="s">
        <v>160</v>
      </c>
      <c r="B17" s="18">
        <v>20000</v>
      </c>
      <c r="C17" s="47"/>
      <c r="D17" s="18"/>
      <c r="E17" s="47"/>
      <c r="F17" s="18"/>
      <c r="G17" s="18">
        <f t="shared" ref="G17:G19" si="8">B17+D17-F17</f>
        <v>20000</v>
      </c>
      <c r="H17" s="18">
        <f t="shared" ref="H17:H19" si="9">G17-I17</f>
        <v>20000</v>
      </c>
      <c r="I17" s="18">
        <f t="shared" ref="I17:I19" si="10">SUM(J17:K17)</f>
        <v>0</v>
      </c>
      <c r="J17" s="18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x14ac:dyDescent="0.35">
      <c r="A18" s="16" t="s">
        <v>165</v>
      </c>
      <c r="B18" s="18">
        <v>90000</v>
      </c>
      <c r="C18" s="47"/>
      <c r="D18" s="18"/>
      <c r="E18" s="47" t="s">
        <v>352</v>
      </c>
      <c r="F18" s="18">
        <v>34000</v>
      </c>
      <c r="G18" s="18">
        <f t="shared" si="8"/>
        <v>56000</v>
      </c>
      <c r="H18" s="18">
        <f t="shared" si="9"/>
        <v>395</v>
      </c>
      <c r="I18" s="18">
        <f t="shared" si="10"/>
        <v>55605</v>
      </c>
      <c r="J18" s="18"/>
      <c r="K18" s="63">
        <v>55605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" x14ac:dyDescent="0.35">
      <c r="A19" s="16" t="s">
        <v>260</v>
      </c>
      <c r="B19" s="18">
        <v>100000</v>
      </c>
      <c r="C19" s="47"/>
      <c r="D19" s="18"/>
      <c r="E19" s="47" t="s">
        <v>380</v>
      </c>
      <c r="F19" s="18">
        <f>11000+51400</f>
        <v>62400</v>
      </c>
      <c r="G19" s="18">
        <f t="shared" si="8"/>
        <v>37600</v>
      </c>
      <c r="H19" s="18">
        <f t="shared" si="9"/>
        <v>34375</v>
      </c>
      <c r="I19" s="18">
        <f t="shared" si="10"/>
        <v>3225</v>
      </c>
      <c r="J19" s="18"/>
      <c r="K19" s="63">
        <v>3225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x14ac:dyDescent="0.35">
      <c r="A20" s="127"/>
      <c r="B20" s="128">
        <f>SUM(B17:B19)</f>
        <v>210000</v>
      </c>
      <c r="C20" s="129"/>
      <c r="D20" s="128">
        <f>SUM(D17:D19)</f>
        <v>0</v>
      </c>
      <c r="E20" s="129"/>
      <c r="F20" s="128">
        <f>SUM(F17:F19)</f>
        <v>96400</v>
      </c>
      <c r="G20" s="128">
        <f>SUM(G17:G19)</f>
        <v>113600</v>
      </c>
      <c r="H20" s="128">
        <f t="shared" ref="H20:J20" si="11">SUM(H17:H19)</f>
        <v>54770</v>
      </c>
      <c r="I20" s="128">
        <f>SUM(I17:I19)</f>
        <v>58830</v>
      </c>
      <c r="J20" s="128">
        <f t="shared" si="11"/>
        <v>0</v>
      </c>
      <c r="K20" s="128">
        <f>SUM(K17:K19)</f>
        <v>58830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x14ac:dyDescent="0.35">
      <c r="A21" s="28" t="s">
        <v>265</v>
      </c>
      <c r="B21" s="18"/>
      <c r="C21" s="47"/>
      <c r="D21" s="18"/>
      <c r="E21" s="47"/>
      <c r="F21" s="18"/>
      <c r="G21" s="18"/>
      <c r="H21" s="18"/>
      <c r="I21" s="63"/>
      <c r="J21" s="18"/>
      <c r="K21" s="6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x14ac:dyDescent="0.35">
      <c r="A22" s="16" t="s">
        <v>171</v>
      </c>
      <c r="B22" s="18">
        <v>25000</v>
      </c>
      <c r="C22" s="47"/>
      <c r="D22" s="18"/>
      <c r="E22" s="47" t="s">
        <v>347</v>
      </c>
      <c r="F22" s="18">
        <v>15000</v>
      </c>
      <c r="G22" s="18">
        <f t="shared" ref="G22:G23" si="12">B22+D22-F22</f>
        <v>10000</v>
      </c>
      <c r="H22" s="18">
        <f t="shared" ref="H22:H23" si="13">G22-I22</f>
        <v>7881.4</v>
      </c>
      <c r="I22" s="18">
        <f t="shared" ref="I22:I23" si="14">SUM(J22:K22)</f>
        <v>2118.6</v>
      </c>
      <c r="J22" s="18"/>
      <c r="K22" s="63">
        <v>2118.6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x14ac:dyDescent="0.35">
      <c r="A23" s="16" t="s">
        <v>355</v>
      </c>
      <c r="B23" s="18"/>
      <c r="C23" s="47" t="s">
        <v>352</v>
      </c>
      <c r="D23" s="18">
        <v>34000</v>
      </c>
      <c r="E23" s="47"/>
      <c r="F23" s="18"/>
      <c r="G23" s="18">
        <f t="shared" si="12"/>
        <v>34000</v>
      </c>
      <c r="H23" s="18">
        <f t="shared" si="13"/>
        <v>0</v>
      </c>
      <c r="I23" s="18">
        <f t="shared" si="14"/>
        <v>34000</v>
      </c>
      <c r="J23" s="18"/>
      <c r="K23" s="63">
        <v>34000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 x14ac:dyDescent="0.35">
      <c r="A24" s="127"/>
      <c r="B24" s="128">
        <f>SUM(B22)</f>
        <v>25000</v>
      </c>
      <c r="C24" s="129"/>
      <c r="D24" s="128">
        <f>SUM(D22:D23)</f>
        <v>34000</v>
      </c>
      <c r="E24" s="129"/>
      <c r="F24" s="128">
        <f>SUM(F22:F23)</f>
        <v>15000</v>
      </c>
      <c r="G24" s="128">
        <f t="shared" ref="G24:K24" si="15">SUM(G22:G23)</f>
        <v>44000</v>
      </c>
      <c r="H24" s="128">
        <f>SUM(H22:H23)</f>
        <v>7881.4</v>
      </c>
      <c r="I24" s="128">
        <f>SUM(I22:I23)</f>
        <v>36118.6</v>
      </c>
      <c r="J24" s="128">
        <f t="shared" si="15"/>
        <v>0</v>
      </c>
      <c r="K24" s="128">
        <f t="shared" si="15"/>
        <v>36118.6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x14ac:dyDescent="0.35">
      <c r="A25" s="28" t="s">
        <v>266</v>
      </c>
      <c r="B25" s="18"/>
      <c r="C25" s="47"/>
      <c r="D25" s="18"/>
      <c r="E25" s="47"/>
      <c r="F25" s="18"/>
      <c r="G25" s="18"/>
      <c r="H25" s="18"/>
      <c r="I25" s="18"/>
      <c r="J25" s="18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" x14ac:dyDescent="0.35">
      <c r="A26" s="16" t="s">
        <v>71</v>
      </c>
      <c r="B26" s="18"/>
      <c r="C26" s="47"/>
      <c r="D26" s="18"/>
      <c r="E26" s="47"/>
      <c r="F26" s="18"/>
      <c r="G26" s="18"/>
      <c r="H26" s="18"/>
      <c r="I26" s="18"/>
      <c r="J26" s="18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" x14ac:dyDescent="0.35">
      <c r="A27" s="16" t="s">
        <v>72</v>
      </c>
      <c r="B27" s="18">
        <v>10000</v>
      </c>
      <c r="C27" s="47"/>
      <c r="D27" s="18"/>
      <c r="E27" s="57" t="s">
        <v>403</v>
      </c>
      <c r="F27" s="18">
        <v>10000</v>
      </c>
      <c r="G27" s="18">
        <f>B27+D27-F27</f>
        <v>0</v>
      </c>
      <c r="H27" s="18">
        <f>G27-I27</f>
        <v>0</v>
      </c>
      <c r="I27" s="18">
        <f>SUM(J27:K27)</f>
        <v>0</v>
      </c>
      <c r="J27" s="63"/>
      <c r="K27" s="6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" x14ac:dyDescent="0.35">
      <c r="A28" s="127"/>
      <c r="B28" s="128">
        <f>SUM(B27)</f>
        <v>10000</v>
      </c>
      <c r="C28" s="129"/>
      <c r="D28" s="128">
        <f>SUM(D27)</f>
        <v>0</v>
      </c>
      <c r="E28" s="129"/>
      <c r="F28" s="128">
        <f>SUM(F27)</f>
        <v>10000</v>
      </c>
      <c r="G28" s="128">
        <f t="shared" ref="G28:K28" si="16">SUM(G27)</f>
        <v>0</v>
      </c>
      <c r="H28" s="128">
        <f t="shared" si="16"/>
        <v>0</v>
      </c>
      <c r="I28" s="128">
        <f t="shared" si="16"/>
        <v>0</v>
      </c>
      <c r="J28" s="128">
        <f t="shared" si="16"/>
        <v>0</v>
      </c>
      <c r="K28" s="128">
        <f t="shared" si="16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" x14ac:dyDescent="0.35">
      <c r="A29" s="28" t="s">
        <v>239</v>
      </c>
      <c r="B29" s="18"/>
      <c r="C29" s="47"/>
      <c r="D29" s="18"/>
      <c r="E29" s="47"/>
      <c r="F29" s="18"/>
      <c r="G29" s="18"/>
      <c r="H29" s="18"/>
      <c r="I29" s="63"/>
      <c r="J29" s="63"/>
      <c r="K29" s="6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" x14ac:dyDescent="0.35">
      <c r="A30" s="16" t="s">
        <v>261</v>
      </c>
      <c r="B30" s="18">
        <v>90000</v>
      </c>
      <c r="C30" s="47"/>
      <c r="D30" s="18"/>
      <c r="E30" s="47" t="s">
        <v>221</v>
      </c>
      <c r="F30" s="18">
        <v>30000</v>
      </c>
      <c r="G30" s="18">
        <f t="shared" ref="G30:G33" si="17">B30+D30-F30</f>
        <v>60000</v>
      </c>
      <c r="H30" s="18">
        <f t="shared" ref="H30:H33" si="18">G30-I30</f>
        <v>7500</v>
      </c>
      <c r="I30" s="21">
        <f t="shared" ref="I30:I33" si="19">SUM(J30:K30)</f>
        <v>52500</v>
      </c>
      <c r="J30" s="63"/>
      <c r="K30" s="63">
        <v>52500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" x14ac:dyDescent="0.35">
      <c r="A31" s="16" t="s">
        <v>350</v>
      </c>
      <c r="B31" s="18"/>
      <c r="C31" s="47" t="s">
        <v>347</v>
      </c>
      <c r="D31" s="18">
        <v>15000</v>
      </c>
      <c r="E31" s="47"/>
      <c r="F31" s="18"/>
      <c r="G31" s="18">
        <f t="shared" si="17"/>
        <v>15000</v>
      </c>
      <c r="H31" s="18">
        <f t="shared" si="18"/>
        <v>1000</v>
      </c>
      <c r="I31" s="21">
        <f t="shared" si="19"/>
        <v>14000</v>
      </c>
      <c r="J31" s="63"/>
      <c r="K31" s="63">
        <v>14000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" x14ac:dyDescent="0.35">
      <c r="A32" s="16" t="s">
        <v>353</v>
      </c>
      <c r="B32" s="18"/>
      <c r="C32" s="47" t="s">
        <v>352</v>
      </c>
      <c r="D32" s="18">
        <v>27500</v>
      </c>
      <c r="E32" s="47"/>
      <c r="F32" s="18"/>
      <c r="G32" s="18">
        <f t="shared" si="17"/>
        <v>27500</v>
      </c>
      <c r="H32" s="18">
        <f t="shared" si="18"/>
        <v>7500</v>
      </c>
      <c r="I32" s="21">
        <f t="shared" si="19"/>
        <v>20000</v>
      </c>
      <c r="J32" s="63"/>
      <c r="K32" s="63">
        <v>20000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" x14ac:dyDescent="0.35">
      <c r="A33" s="16" t="s">
        <v>384</v>
      </c>
      <c r="B33" s="18"/>
      <c r="C33" s="47" t="s">
        <v>381</v>
      </c>
      <c r="D33" s="18">
        <v>17900</v>
      </c>
      <c r="E33" s="47"/>
      <c r="F33" s="18"/>
      <c r="G33" s="18">
        <f t="shared" si="17"/>
        <v>17900</v>
      </c>
      <c r="H33" s="18">
        <f t="shared" si="18"/>
        <v>200</v>
      </c>
      <c r="I33" s="21">
        <f t="shared" si="19"/>
        <v>17700</v>
      </c>
      <c r="J33" s="63">
        <v>17700</v>
      </c>
      <c r="K33" s="6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" x14ac:dyDescent="0.35">
      <c r="A34" s="127"/>
      <c r="B34" s="128">
        <f>SUM(B30)</f>
        <v>90000</v>
      </c>
      <c r="C34" s="129"/>
      <c r="D34" s="128">
        <f>SUM(D30:D33)</f>
        <v>60400</v>
      </c>
      <c r="E34" s="129"/>
      <c r="F34" s="128">
        <f t="shared" ref="F34:K34" si="20">SUM(F30:F33)</f>
        <v>30000</v>
      </c>
      <c r="G34" s="128">
        <f t="shared" si="20"/>
        <v>120400</v>
      </c>
      <c r="H34" s="128">
        <f t="shared" si="20"/>
        <v>16200</v>
      </c>
      <c r="I34" s="128">
        <f t="shared" si="20"/>
        <v>104200</v>
      </c>
      <c r="J34" s="128">
        <f t="shared" si="20"/>
        <v>17700</v>
      </c>
      <c r="K34" s="128">
        <f t="shared" si="20"/>
        <v>86500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" x14ac:dyDescent="0.35">
      <c r="A35" s="28" t="s">
        <v>262</v>
      </c>
      <c r="B35" s="18"/>
      <c r="C35" s="47"/>
      <c r="D35" s="18"/>
      <c r="E35" s="47"/>
      <c r="F35" s="18"/>
      <c r="G35" s="18"/>
      <c r="H35" s="18"/>
      <c r="I35" s="63"/>
      <c r="J35" s="63"/>
      <c r="K35" s="6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" x14ac:dyDescent="0.35">
      <c r="A36" s="16" t="s">
        <v>263</v>
      </c>
      <c r="B36" s="18">
        <v>400000</v>
      </c>
      <c r="C36" s="47"/>
      <c r="D36" s="18"/>
      <c r="E36" s="47"/>
      <c r="F36" s="18"/>
      <c r="G36" s="18">
        <f>B36+D36-F36</f>
        <v>400000</v>
      </c>
      <c r="H36" s="18">
        <f>G36-I36</f>
        <v>1000</v>
      </c>
      <c r="I36" s="18">
        <f>SUM(J36:K36)</f>
        <v>399000</v>
      </c>
      <c r="J36" s="63">
        <v>399000</v>
      </c>
      <c r="K36" s="6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" x14ac:dyDescent="0.35">
      <c r="A37" s="127"/>
      <c r="B37" s="128">
        <f>SUM(B36)</f>
        <v>400000</v>
      </c>
      <c r="C37" s="129"/>
      <c r="D37" s="128">
        <f>SUM(D36)</f>
        <v>0</v>
      </c>
      <c r="E37" s="129"/>
      <c r="F37" s="128">
        <f t="shared" ref="F37:K37" si="21">SUM(F36)</f>
        <v>0</v>
      </c>
      <c r="G37" s="128">
        <f t="shared" si="21"/>
        <v>400000</v>
      </c>
      <c r="H37" s="128">
        <f t="shared" si="21"/>
        <v>1000</v>
      </c>
      <c r="I37" s="128">
        <f>SUM(I36)</f>
        <v>399000</v>
      </c>
      <c r="J37" s="128">
        <f t="shared" si="21"/>
        <v>399000</v>
      </c>
      <c r="K37" s="128">
        <f t="shared" si="21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" x14ac:dyDescent="0.35">
      <c r="A38" s="135" t="s">
        <v>101</v>
      </c>
      <c r="B38" s="133">
        <f>B11+B15+B20+B24+B28+B34+B37</f>
        <v>1064480</v>
      </c>
      <c r="C38" s="134"/>
      <c r="D38" s="133">
        <f>D11+D15+D20+D24+D28+D34+D37</f>
        <v>143613</v>
      </c>
      <c r="E38" s="134"/>
      <c r="F38" s="133">
        <f t="shared" ref="F38:K38" si="22">F11+F15+F20+F24+F28+F34+F37</f>
        <v>166600</v>
      </c>
      <c r="G38" s="133">
        <f t="shared" si="22"/>
        <v>1041493</v>
      </c>
      <c r="H38" s="133">
        <f t="shared" si="22"/>
        <v>84949.4</v>
      </c>
      <c r="I38" s="133">
        <f t="shared" si="22"/>
        <v>956543.6</v>
      </c>
      <c r="J38" s="133">
        <f t="shared" si="22"/>
        <v>775095</v>
      </c>
      <c r="K38" s="133">
        <f t="shared" si="22"/>
        <v>181448.6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" x14ac:dyDescent="0.35">
      <c r="A39" s="16"/>
      <c r="B39" s="18"/>
      <c r="C39" s="47"/>
      <c r="D39" s="18"/>
      <c r="E39" s="47"/>
      <c r="F39" s="18"/>
      <c r="G39" s="18"/>
      <c r="H39" s="18"/>
      <c r="I39" s="18"/>
      <c r="J39" s="18"/>
      <c r="K39" s="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" x14ac:dyDescent="0.35">
      <c r="A40" s="16"/>
      <c r="B40" s="18"/>
      <c r="C40" s="47"/>
      <c r="D40" s="18"/>
      <c r="E40" s="18"/>
      <c r="F40" s="18"/>
      <c r="G40" s="18"/>
      <c r="H40" s="18"/>
      <c r="I40" s="18"/>
      <c r="J40" s="18"/>
      <c r="K40" s="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" x14ac:dyDescent="0.35">
      <c r="A41" s="16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" x14ac:dyDescent="0.35">
      <c r="A42" s="16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" x14ac:dyDescent="0.35">
      <c r="A43" s="16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" x14ac:dyDescent="0.35">
      <c r="A44" s="1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" x14ac:dyDescent="0.35">
      <c r="A45" s="16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" x14ac:dyDescent="0.35">
      <c r="A46" s="16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" x14ac:dyDescent="0.35">
      <c r="A47" s="16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" x14ac:dyDescent="0.35">
      <c r="A48" s="16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" x14ac:dyDescent="0.35">
      <c r="A49" s="16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8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8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8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8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8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8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8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8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8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8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8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8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8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8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8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8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8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8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8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8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8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8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</sheetData>
  <mergeCells count="4">
    <mergeCell ref="A2:K2"/>
    <mergeCell ref="A3:K3"/>
    <mergeCell ref="A4:K4"/>
    <mergeCell ref="J5:K5"/>
  </mergeCells>
  <pageMargins left="0.86614173228346458" right="0.19685039370078741" top="0.31496062992125984" bottom="0.23622047244094491" header="0.31496062992125984" footer="0.23622047244094491"/>
  <pageSetup paperSize="5" scale="81" orientation="landscape" horizontalDpi="4294967293" r:id="rId1"/>
  <rowBreaks count="1" manualBreakCount="1">
    <brk id="38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8"/>
  <sheetViews>
    <sheetView view="pageBreakPreview" topLeftCell="A55" zoomScaleSheetLayoutView="100" workbookViewId="0">
      <selection activeCell="F36" sqref="F36"/>
    </sheetView>
  </sheetViews>
  <sheetFormatPr defaultRowHeight="13.8" x14ac:dyDescent="0.25"/>
  <cols>
    <col min="1" max="1" width="55.3984375" customWidth="1"/>
    <col min="2" max="2" width="12.69921875" customWidth="1"/>
    <col min="3" max="3" width="2.19921875" customWidth="1"/>
    <col min="4" max="4" width="11.59765625" customWidth="1"/>
    <col min="5" max="5" width="2.19921875" customWidth="1"/>
    <col min="6" max="6" width="11.19921875" customWidth="1"/>
    <col min="7" max="7" width="13.59765625" customWidth="1"/>
    <col min="8" max="8" width="12.59765625" customWidth="1"/>
    <col min="9" max="9" width="12.19921875" customWidth="1"/>
    <col min="10" max="10" width="11.8984375" customWidth="1"/>
    <col min="11" max="11" width="11.59765625" customWidth="1"/>
    <col min="12" max="12" width="2.3984375" customWidth="1"/>
  </cols>
  <sheetData>
    <row r="1" spans="1:23" ht="18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">
        <v>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x14ac:dyDescent="0.35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x14ac:dyDescent="0.35">
      <c r="A3" s="174" t="s">
        <v>241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" x14ac:dyDescent="0.35">
      <c r="A4" s="6"/>
      <c r="B4" s="8"/>
      <c r="C4" s="3"/>
      <c r="D4" s="10"/>
      <c r="E4" s="3"/>
      <c r="F4" s="10"/>
      <c r="G4" s="12" t="s">
        <v>2</v>
      </c>
      <c r="H4" s="13" t="s">
        <v>6</v>
      </c>
      <c r="I4" s="12" t="s">
        <v>7</v>
      </c>
      <c r="J4" s="175" t="s">
        <v>8</v>
      </c>
      <c r="K4" s="17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" x14ac:dyDescent="0.35">
      <c r="A5" s="7" t="s">
        <v>11</v>
      </c>
      <c r="B5" s="9" t="s">
        <v>2</v>
      </c>
      <c r="C5" s="4"/>
      <c r="D5" s="11" t="s">
        <v>3</v>
      </c>
      <c r="E5" s="4"/>
      <c r="F5" s="11" t="s">
        <v>4</v>
      </c>
      <c r="G5" s="9" t="s">
        <v>5</v>
      </c>
      <c r="H5" s="9" t="s">
        <v>2</v>
      </c>
      <c r="I5" s="14"/>
      <c r="J5" s="15" t="s">
        <v>9</v>
      </c>
      <c r="K5" s="15" t="s">
        <v>10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" x14ac:dyDescent="0.35">
      <c r="A6" s="28" t="s">
        <v>250</v>
      </c>
      <c r="B6" s="18"/>
      <c r="C6" s="47"/>
      <c r="D6" s="18"/>
      <c r="E6" s="47"/>
      <c r="F6" s="18"/>
      <c r="G6" s="18"/>
      <c r="H6" s="18"/>
      <c r="I6" s="18"/>
      <c r="J6" s="18"/>
      <c r="K6" s="1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 x14ac:dyDescent="0.35">
      <c r="A7" s="16" t="s">
        <v>54</v>
      </c>
      <c r="B7" s="18">
        <v>513360</v>
      </c>
      <c r="C7" s="47" t="s">
        <v>351</v>
      </c>
      <c r="D7" s="18">
        <v>182160</v>
      </c>
      <c r="E7" s="47"/>
      <c r="F7" s="18"/>
      <c r="G7" s="18">
        <f>B7+D7-F7</f>
        <v>695520</v>
      </c>
      <c r="H7" s="18">
        <f>G7-I7</f>
        <v>0</v>
      </c>
      <c r="I7" s="18">
        <f>SUM(J7:K7)</f>
        <v>695520</v>
      </c>
      <c r="J7" s="18">
        <v>695520</v>
      </c>
      <c r="K7" s="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x14ac:dyDescent="0.35">
      <c r="A8" s="16" t="s">
        <v>55</v>
      </c>
      <c r="B8" s="18">
        <v>84000</v>
      </c>
      <c r="C8" s="47" t="s">
        <v>351</v>
      </c>
      <c r="D8" s="18">
        <v>36000</v>
      </c>
      <c r="E8" s="47"/>
      <c r="F8" s="18"/>
      <c r="G8" s="18">
        <f>B8+D8-F8</f>
        <v>120000</v>
      </c>
      <c r="H8" s="18">
        <f t="shared" ref="H8:H11" si="0">G8-I8</f>
        <v>0</v>
      </c>
      <c r="I8" s="18">
        <f t="shared" ref="I8:I10" si="1">SUM(J8:K8)</f>
        <v>120000</v>
      </c>
      <c r="J8" s="18">
        <v>120000</v>
      </c>
      <c r="K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" x14ac:dyDescent="0.35">
      <c r="A9" s="16" t="s">
        <v>56</v>
      </c>
      <c r="B9" s="18">
        <v>84000</v>
      </c>
      <c r="C9" s="47" t="s">
        <v>351</v>
      </c>
      <c r="D9" s="18">
        <v>36000</v>
      </c>
      <c r="E9" s="47"/>
      <c r="F9" s="18"/>
      <c r="G9" s="18">
        <f>B9+D9-F9</f>
        <v>120000</v>
      </c>
      <c r="H9" s="18">
        <f t="shared" si="0"/>
        <v>0</v>
      </c>
      <c r="I9" s="18">
        <f t="shared" si="1"/>
        <v>120000</v>
      </c>
      <c r="J9" s="18">
        <v>120000</v>
      </c>
      <c r="K9" s="1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" x14ac:dyDescent="0.35">
      <c r="A10" s="16" t="s">
        <v>57</v>
      </c>
      <c r="B10" s="18">
        <v>198720</v>
      </c>
      <c r="C10" s="47"/>
      <c r="D10" s="18"/>
      <c r="E10" s="47"/>
      <c r="F10" s="18"/>
      <c r="G10" s="18">
        <f>B10+D10-F10</f>
        <v>198720</v>
      </c>
      <c r="H10" s="18">
        <f t="shared" si="0"/>
        <v>0</v>
      </c>
      <c r="I10" s="18">
        <f t="shared" si="1"/>
        <v>198720</v>
      </c>
      <c r="J10" s="18">
        <v>198720</v>
      </c>
      <c r="K10" s="1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" x14ac:dyDescent="0.35">
      <c r="A11" s="16" t="s">
        <v>58</v>
      </c>
      <c r="B11" s="18">
        <v>1490400</v>
      </c>
      <c r="C11" s="47"/>
      <c r="D11" s="18"/>
      <c r="E11" s="47"/>
      <c r="F11" s="18"/>
      <c r="G11" s="18">
        <f>B11+D11-F11</f>
        <v>1490400</v>
      </c>
      <c r="H11" s="18">
        <f t="shared" si="0"/>
        <v>0</v>
      </c>
      <c r="I11" s="18">
        <f>SUM(J11:K11)</f>
        <v>1490400</v>
      </c>
      <c r="J11" s="18">
        <v>1490400</v>
      </c>
      <c r="K11" s="1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" x14ac:dyDescent="0.35">
      <c r="A12" s="124"/>
      <c r="B12" s="125">
        <f>SUM(B7:B11)</f>
        <v>2370480</v>
      </c>
      <c r="C12" s="126"/>
      <c r="D12" s="125">
        <f>SUM(D7:D11)</f>
        <v>254160</v>
      </c>
      <c r="E12" s="126"/>
      <c r="F12" s="125">
        <f>SUM(F7:F11)</f>
        <v>0</v>
      </c>
      <c r="G12" s="125">
        <f>SUM(G7:G11)</f>
        <v>2624640</v>
      </c>
      <c r="H12" s="125">
        <f t="shared" ref="H12:K12" si="2">SUM(H7:H11)</f>
        <v>0</v>
      </c>
      <c r="I12" s="125">
        <f t="shared" si="2"/>
        <v>2624640</v>
      </c>
      <c r="J12" s="125">
        <f t="shared" si="2"/>
        <v>2624640</v>
      </c>
      <c r="K12" s="125">
        <f t="shared" si="2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" x14ac:dyDescent="0.35">
      <c r="A13" s="95" t="s">
        <v>251</v>
      </c>
      <c r="B13" s="5"/>
      <c r="C13" s="16"/>
      <c r="D13" s="5"/>
      <c r="E13" s="16"/>
      <c r="F13" s="5"/>
      <c r="G13" s="5"/>
      <c r="H13" s="5"/>
      <c r="I13" s="5"/>
      <c r="J13" s="5"/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" x14ac:dyDescent="0.35">
      <c r="A14" s="16" t="s">
        <v>175</v>
      </c>
      <c r="B14" s="18">
        <v>1334160</v>
      </c>
      <c r="C14" s="47" t="s">
        <v>372</v>
      </c>
      <c r="D14" s="18">
        <v>148945</v>
      </c>
      <c r="E14" s="60"/>
      <c r="F14" s="18"/>
      <c r="G14" s="18">
        <f t="shared" ref="G14:G23" si="3">B14+D14-F14</f>
        <v>1483105</v>
      </c>
      <c r="H14" s="18">
        <f t="shared" ref="H14:H23" si="4">G14-I14</f>
        <v>0</v>
      </c>
      <c r="I14" s="18">
        <f t="shared" ref="I14:I23" si="5">SUM(J14:K14)</f>
        <v>1483105</v>
      </c>
      <c r="J14" s="18">
        <v>1483105</v>
      </c>
      <c r="K14" s="1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" x14ac:dyDescent="0.35">
      <c r="A15" s="16" t="s">
        <v>176</v>
      </c>
      <c r="B15" s="18">
        <v>329160</v>
      </c>
      <c r="C15" s="47"/>
      <c r="D15" s="18"/>
      <c r="E15" s="57" t="s">
        <v>371</v>
      </c>
      <c r="F15" s="18">
        <f>74880+99645</f>
        <v>174525</v>
      </c>
      <c r="G15" s="18">
        <f t="shared" si="3"/>
        <v>154635</v>
      </c>
      <c r="H15" s="18">
        <f t="shared" si="4"/>
        <v>0</v>
      </c>
      <c r="I15" s="18">
        <f t="shared" si="5"/>
        <v>154635</v>
      </c>
      <c r="J15" s="18">
        <v>154635</v>
      </c>
      <c r="K15" s="1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" x14ac:dyDescent="0.35">
      <c r="A16" s="16" t="s">
        <v>179</v>
      </c>
      <c r="B16" s="18">
        <v>1080180</v>
      </c>
      <c r="C16" s="47"/>
      <c r="D16" s="18"/>
      <c r="E16" s="47" t="s">
        <v>376</v>
      </c>
      <c r="F16" s="18">
        <f>20000+27416</f>
        <v>47416</v>
      </c>
      <c r="G16" s="18">
        <f t="shared" si="3"/>
        <v>1032764</v>
      </c>
      <c r="H16" s="18">
        <f>G16-I16</f>
        <v>97415</v>
      </c>
      <c r="I16" s="18">
        <f t="shared" si="5"/>
        <v>935349</v>
      </c>
      <c r="J16" s="18"/>
      <c r="K16" s="18">
        <v>935349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x14ac:dyDescent="0.35">
      <c r="A17" s="16" t="s">
        <v>180</v>
      </c>
      <c r="B17" s="18">
        <v>171960</v>
      </c>
      <c r="C17" s="47"/>
      <c r="D17" s="18"/>
      <c r="E17" s="47" t="s">
        <v>403</v>
      </c>
      <c r="F17" s="18">
        <v>84400</v>
      </c>
      <c r="G17" s="18">
        <f t="shared" si="3"/>
        <v>87560</v>
      </c>
      <c r="H17" s="18">
        <f t="shared" si="4"/>
        <v>0</v>
      </c>
      <c r="I17" s="18">
        <f t="shared" si="5"/>
        <v>87560</v>
      </c>
      <c r="J17" s="18"/>
      <c r="K17" s="18">
        <v>87560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x14ac:dyDescent="0.35">
      <c r="A18" s="16" t="s">
        <v>177</v>
      </c>
      <c r="B18" s="18">
        <v>121140</v>
      </c>
      <c r="C18" s="47"/>
      <c r="D18" s="18"/>
      <c r="E18" s="47" t="s">
        <v>372</v>
      </c>
      <c r="F18" s="18">
        <v>1260</v>
      </c>
      <c r="G18" s="18">
        <f t="shared" si="3"/>
        <v>119880</v>
      </c>
      <c r="H18" s="18">
        <f t="shared" si="4"/>
        <v>0</v>
      </c>
      <c r="I18" s="18">
        <f t="shared" si="5"/>
        <v>119880</v>
      </c>
      <c r="J18" s="18">
        <v>119880</v>
      </c>
      <c r="K18" s="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" x14ac:dyDescent="0.35">
      <c r="A19" s="16" t="s">
        <v>178</v>
      </c>
      <c r="B19" s="18">
        <v>18000</v>
      </c>
      <c r="C19" s="47"/>
      <c r="D19" s="18"/>
      <c r="E19" s="47"/>
      <c r="F19" s="18"/>
      <c r="G19" s="18">
        <f t="shared" si="3"/>
        <v>18000</v>
      </c>
      <c r="H19" s="18">
        <f t="shared" si="4"/>
        <v>0</v>
      </c>
      <c r="I19" s="18">
        <f t="shared" si="5"/>
        <v>18000</v>
      </c>
      <c r="J19" s="18">
        <v>18000</v>
      </c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x14ac:dyDescent="0.35">
      <c r="A20" s="16" t="s">
        <v>155</v>
      </c>
      <c r="B20" s="18">
        <v>280560</v>
      </c>
      <c r="C20" s="47" t="s">
        <v>372</v>
      </c>
      <c r="D20" s="18">
        <v>34412</v>
      </c>
      <c r="E20" s="47"/>
      <c r="F20" s="18"/>
      <c r="G20" s="18">
        <f t="shared" si="3"/>
        <v>314972</v>
      </c>
      <c r="H20" s="18">
        <f t="shared" si="4"/>
        <v>3000</v>
      </c>
      <c r="I20" s="18">
        <f t="shared" si="5"/>
        <v>311972</v>
      </c>
      <c r="J20" s="18">
        <v>311972</v>
      </c>
      <c r="K20" s="1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x14ac:dyDescent="0.35">
      <c r="A21" s="16" t="s">
        <v>154</v>
      </c>
      <c r="B21" s="18">
        <v>115440</v>
      </c>
      <c r="C21" s="47"/>
      <c r="D21" s="18"/>
      <c r="E21" s="47" t="s">
        <v>372</v>
      </c>
      <c r="F21" s="18">
        <v>5056</v>
      </c>
      <c r="G21" s="18">
        <f t="shared" si="3"/>
        <v>110384</v>
      </c>
      <c r="H21" s="18">
        <f t="shared" si="4"/>
        <v>0</v>
      </c>
      <c r="I21" s="18">
        <f t="shared" si="5"/>
        <v>110384</v>
      </c>
      <c r="J21" s="18">
        <v>110384</v>
      </c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x14ac:dyDescent="0.35">
      <c r="A22" s="16" t="s">
        <v>181</v>
      </c>
      <c r="B22" s="18">
        <v>269160</v>
      </c>
      <c r="C22" s="47" t="s">
        <v>372</v>
      </c>
      <c r="D22" s="18">
        <v>27416</v>
      </c>
      <c r="E22" s="47"/>
      <c r="F22" s="18"/>
      <c r="G22" s="18">
        <f t="shared" si="3"/>
        <v>296576</v>
      </c>
      <c r="H22" s="18">
        <f t="shared" si="4"/>
        <v>0</v>
      </c>
      <c r="I22" s="18">
        <f t="shared" si="5"/>
        <v>296576</v>
      </c>
      <c r="J22" s="18"/>
      <c r="K22" s="18">
        <v>296576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x14ac:dyDescent="0.35">
      <c r="A23" s="16" t="s">
        <v>182</v>
      </c>
      <c r="B23" s="18">
        <v>67920</v>
      </c>
      <c r="C23" s="47"/>
      <c r="D23" s="18"/>
      <c r="E23" s="47"/>
      <c r="F23" s="18"/>
      <c r="G23" s="18">
        <f t="shared" si="3"/>
        <v>67920</v>
      </c>
      <c r="H23" s="18">
        <f t="shared" si="4"/>
        <v>5435</v>
      </c>
      <c r="I23" s="18">
        <f t="shared" si="5"/>
        <v>62485</v>
      </c>
      <c r="J23" s="18"/>
      <c r="K23" s="18">
        <v>62485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 x14ac:dyDescent="0.35">
      <c r="A24" s="127"/>
      <c r="B24" s="128">
        <f>SUM(B14:B23)</f>
        <v>3787680</v>
      </c>
      <c r="C24" s="129"/>
      <c r="D24" s="128">
        <f>SUM(D14:D23)</f>
        <v>210773</v>
      </c>
      <c r="E24" s="129"/>
      <c r="F24" s="128">
        <f t="shared" ref="F24:K24" si="6">SUM(F14:F23)</f>
        <v>312657</v>
      </c>
      <c r="G24" s="128">
        <f t="shared" si="6"/>
        <v>3685796</v>
      </c>
      <c r="H24" s="128">
        <f t="shared" si="6"/>
        <v>105850</v>
      </c>
      <c r="I24" s="128">
        <f t="shared" si="6"/>
        <v>3579946</v>
      </c>
      <c r="J24" s="128">
        <f t="shared" si="6"/>
        <v>2197976</v>
      </c>
      <c r="K24" s="128">
        <f t="shared" si="6"/>
        <v>1381970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x14ac:dyDescent="0.35">
      <c r="A25" s="23"/>
      <c r="B25" s="8"/>
      <c r="C25" s="48"/>
      <c r="D25" s="10"/>
      <c r="E25" s="48"/>
      <c r="F25" s="10"/>
      <c r="G25" s="12" t="s">
        <v>2</v>
      </c>
      <c r="H25" s="13" t="s">
        <v>6</v>
      </c>
      <c r="I25" s="12" t="s">
        <v>7</v>
      </c>
      <c r="J25" s="175" t="s">
        <v>8</v>
      </c>
      <c r="K25" s="176"/>
      <c r="L25" s="1">
        <v>4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" x14ac:dyDescent="0.35">
      <c r="A26" s="24" t="s">
        <v>11</v>
      </c>
      <c r="B26" s="9" t="s">
        <v>2</v>
      </c>
      <c r="C26" s="49"/>
      <c r="D26" s="11" t="s">
        <v>3</v>
      </c>
      <c r="E26" s="49"/>
      <c r="F26" s="11" t="s">
        <v>4</v>
      </c>
      <c r="G26" s="9" t="s">
        <v>5</v>
      </c>
      <c r="H26" s="9" t="s">
        <v>2</v>
      </c>
      <c r="I26" s="14"/>
      <c r="J26" s="29" t="s">
        <v>9</v>
      </c>
      <c r="K26" s="29" t="s">
        <v>10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" x14ac:dyDescent="0.35">
      <c r="A27" s="28" t="s">
        <v>252</v>
      </c>
      <c r="B27" s="18"/>
      <c r="C27" s="47"/>
      <c r="D27" s="18"/>
      <c r="E27" s="47"/>
      <c r="F27" s="18"/>
      <c r="G27" s="18"/>
      <c r="H27" s="18"/>
      <c r="I27" s="18"/>
      <c r="J27" s="18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" x14ac:dyDescent="0.35">
      <c r="A28" s="16" t="s">
        <v>59</v>
      </c>
      <c r="B28" s="18">
        <v>3000</v>
      </c>
      <c r="C28" s="47"/>
      <c r="D28" s="18"/>
      <c r="E28" s="47" t="s">
        <v>365</v>
      </c>
      <c r="F28" s="18">
        <v>1500</v>
      </c>
      <c r="G28" s="18">
        <f t="shared" ref="G28:G36" si="7">B28+D28-F28</f>
        <v>1500</v>
      </c>
      <c r="H28" s="18">
        <f t="shared" ref="H28:H36" si="8">G28-I28</f>
        <v>1500</v>
      </c>
      <c r="I28" s="18">
        <f t="shared" ref="I28:I36" si="9">SUM(J28:K28)</f>
        <v>0</v>
      </c>
      <c r="J28" s="63" t="s">
        <v>222</v>
      </c>
      <c r="K28" s="1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" x14ac:dyDescent="0.35">
      <c r="A29" s="16" t="s">
        <v>60</v>
      </c>
      <c r="B29" s="18">
        <v>500000</v>
      </c>
      <c r="C29" s="47" t="s">
        <v>416</v>
      </c>
      <c r="D29" s="18">
        <f>450000+2000</f>
        <v>452000</v>
      </c>
      <c r="E29" s="47"/>
      <c r="F29" s="18"/>
      <c r="G29" s="18">
        <f t="shared" si="7"/>
        <v>952000</v>
      </c>
      <c r="H29" s="21">
        <f>G29-I29</f>
        <v>187</v>
      </c>
      <c r="I29" s="18">
        <f>SUM(J29:K29)</f>
        <v>951813</v>
      </c>
      <c r="J29" s="63">
        <v>951813</v>
      </c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" x14ac:dyDescent="0.35">
      <c r="A30" s="16" t="s">
        <v>61</v>
      </c>
      <c r="B30" s="18">
        <v>15000</v>
      </c>
      <c r="C30" s="47"/>
      <c r="D30" s="18"/>
      <c r="E30" s="47" t="s">
        <v>372</v>
      </c>
      <c r="F30" s="18">
        <v>15000</v>
      </c>
      <c r="G30" s="18">
        <f t="shared" si="7"/>
        <v>0</v>
      </c>
      <c r="H30" s="18">
        <f t="shared" si="8"/>
        <v>0</v>
      </c>
      <c r="I30" s="18">
        <f>SUM(J30:K30)</f>
        <v>0</v>
      </c>
      <c r="J30" s="63" t="s">
        <v>222</v>
      </c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" x14ac:dyDescent="0.35">
      <c r="A31" s="16" t="s">
        <v>62</v>
      </c>
      <c r="B31" s="18">
        <v>10000</v>
      </c>
      <c r="C31" s="47" t="s">
        <v>365</v>
      </c>
      <c r="D31" s="18">
        <v>1500</v>
      </c>
      <c r="E31" s="47"/>
      <c r="F31" s="18"/>
      <c r="G31" s="18">
        <f t="shared" si="7"/>
        <v>11500</v>
      </c>
      <c r="H31" s="18">
        <f t="shared" si="8"/>
        <v>150</v>
      </c>
      <c r="I31" s="18">
        <f t="shared" si="9"/>
        <v>11350</v>
      </c>
      <c r="J31" s="18">
        <v>11350</v>
      </c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" x14ac:dyDescent="0.35">
      <c r="A32" s="16" t="s">
        <v>63</v>
      </c>
      <c r="B32" s="18">
        <v>25000</v>
      </c>
      <c r="C32" s="47"/>
      <c r="D32" s="18"/>
      <c r="E32" s="47" t="s">
        <v>372</v>
      </c>
      <c r="F32" s="18">
        <v>20056</v>
      </c>
      <c r="G32" s="18">
        <f t="shared" si="7"/>
        <v>4944</v>
      </c>
      <c r="H32" s="18">
        <f t="shared" si="8"/>
        <v>0</v>
      </c>
      <c r="I32" s="18">
        <f t="shared" si="9"/>
        <v>4944</v>
      </c>
      <c r="J32" s="18">
        <v>4944</v>
      </c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" x14ac:dyDescent="0.35">
      <c r="A33" s="16" t="s">
        <v>64</v>
      </c>
      <c r="B33" s="18">
        <v>36000</v>
      </c>
      <c r="C33" s="47"/>
      <c r="D33" s="18"/>
      <c r="E33" s="47" t="s">
        <v>372</v>
      </c>
      <c r="F33" s="18">
        <v>36000</v>
      </c>
      <c r="G33" s="18">
        <f t="shared" si="7"/>
        <v>0</v>
      </c>
      <c r="H33" s="18">
        <f t="shared" si="8"/>
        <v>0</v>
      </c>
      <c r="I33" s="18">
        <f t="shared" si="9"/>
        <v>0</v>
      </c>
      <c r="J33" s="18" t="s">
        <v>222</v>
      </c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" x14ac:dyDescent="0.35">
      <c r="A34" s="16" t="s">
        <v>183</v>
      </c>
      <c r="B34" s="18">
        <v>60000</v>
      </c>
      <c r="C34" s="47"/>
      <c r="D34" s="18"/>
      <c r="E34" s="47" t="s">
        <v>403</v>
      </c>
      <c r="F34" s="18">
        <v>43500</v>
      </c>
      <c r="G34" s="18">
        <f t="shared" si="7"/>
        <v>16500</v>
      </c>
      <c r="H34" s="18">
        <f t="shared" si="8"/>
        <v>1000</v>
      </c>
      <c r="I34" s="18">
        <f t="shared" si="9"/>
        <v>15500</v>
      </c>
      <c r="J34" s="18"/>
      <c r="K34" s="18">
        <v>15500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" x14ac:dyDescent="0.35">
      <c r="A35" s="16" t="s">
        <v>184</v>
      </c>
      <c r="B35" s="18">
        <v>15000</v>
      </c>
      <c r="C35" s="60"/>
      <c r="D35" s="18"/>
      <c r="E35" s="47" t="s">
        <v>415</v>
      </c>
      <c r="F35" s="18">
        <f>5000+2000+6270</f>
        <v>13270</v>
      </c>
      <c r="G35" s="18">
        <f t="shared" si="7"/>
        <v>1730</v>
      </c>
      <c r="H35" s="18">
        <f t="shared" si="8"/>
        <v>1730</v>
      </c>
      <c r="I35" s="18">
        <f t="shared" si="9"/>
        <v>0</v>
      </c>
      <c r="J35" s="18"/>
      <c r="K35" s="18" t="s">
        <v>222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" x14ac:dyDescent="0.35">
      <c r="A36" s="16" t="s">
        <v>185</v>
      </c>
      <c r="B36" s="18">
        <v>23400</v>
      </c>
      <c r="C36" s="47"/>
      <c r="D36" s="18"/>
      <c r="E36" s="47"/>
      <c r="F36" s="18"/>
      <c r="G36" s="18">
        <f t="shared" si="7"/>
        <v>23400</v>
      </c>
      <c r="H36" s="18">
        <f t="shared" si="8"/>
        <v>0</v>
      </c>
      <c r="I36" s="18">
        <f t="shared" si="9"/>
        <v>23400</v>
      </c>
      <c r="J36" s="18"/>
      <c r="K36" s="18">
        <v>23400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" x14ac:dyDescent="0.35">
      <c r="A37" s="127"/>
      <c r="B37" s="128">
        <f>SUM(B28:B36)</f>
        <v>687400</v>
      </c>
      <c r="C37" s="129"/>
      <c r="D37" s="128">
        <f>SUM(D28:D36)</f>
        <v>453500</v>
      </c>
      <c r="E37" s="129"/>
      <c r="F37" s="128">
        <f t="shared" ref="F37:K37" si="10">SUM(F28:F36)</f>
        <v>129326</v>
      </c>
      <c r="G37" s="128">
        <f t="shared" si="10"/>
        <v>1011574</v>
      </c>
      <c r="H37" s="128">
        <f t="shared" si="10"/>
        <v>4567</v>
      </c>
      <c r="I37" s="128">
        <f>SUM(I28:I36)</f>
        <v>1007007</v>
      </c>
      <c r="J37" s="128">
        <f t="shared" si="10"/>
        <v>968107</v>
      </c>
      <c r="K37" s="128">
        <f t="shared" si="10"/>
        <v>38900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" x14ac:dyDescent="0.35">
      <c r="A38" s="28" t="s">
        <v>253</v>
      </c>
      <c r="B38" s="18"/>
      <c r="C38" s="47"/>
      <c r="D38" s="18"/>
      <c r="E38" s="47"/>
      <c r="F38" s="18"/>
      <c r="G38" s="18"/>
      <c r="H38" s="18"/>
      <c r="I38" s="18"/>
      <c r="J38" s="18"/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" x14ac:dyDescent="0.35">
      <c r="A39" s="16" t="s">
        <v>242</v>
      </c>
      <c r="B39" s="18">
        <v>276000</v>
      </c>
      <c r="C39" s="47" t="s">
        <v>367</v>
      </c>
      <c r="D39" s="18">
        <v>15000</v>
      </c>
      <c r="E39" s="47"/>
      <c r="F39" s="18"/>
      <c r="G39" s="18">
        <f>B39+D39-F39</f>
        <v>291000</v>
      </c>
      <c r="H39" s="18">
        <f t="shared" ref="H39:H53" si="11">G39-I39</f>
        <v>2659.0900000000256</v>
      </c>
      <c r="I39" s="18">
        <f t="shared" ref="I39:I53" si="12">SUM(J39:K39)</f>
        <v>288340.90999999997</v>
      </c>
      <c r="J39" s="18">
        <v>288340.90999999997</v>
      </c>
      <c r="K39" s="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" x14ac:dyDescent="0.35">
      <c r="A40" s="16" t="s">
        <v>243</v>
      </c>
      <c r="B40" s="18">
        <v>35000</v>
      </c>
      <c r="C40" s="47"/>
      <c r="D40" s="18"/>
      <c r="E40" s="47"/>
      <c r="F40" s="18"/>
      <c r="G40" s="18">
        <f t="shared" ref="G40:G52" si="13">B40+D40-F40</f>
        <v>35000</v>
      </c>
      <c r="H40" s="18">
        <f t="shared" si="11"/>
        <v>22250</v>
      </c>
      <c r="I40" s="18">
        <f t="shared" si="12"/>
        <v>12750</v>
      </c>
      <c r="J40" s="18">
        <v>12750</v>
      </c>
      <c r="K40" s="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" x14ac:dyDescent="0.35">
      <c r="A41" s="16" t="s">
        <v>160</v>
      </c>
      <c r="B41" s="18">
        <v>150000</v>
      </c>
      <c r="C41" s="60" t="s">
        <v>373</v>
      </c>
      <c r="D41" s="18">
        <f>100000+11000+4200</f>
        <v>115200</v>
      </c>
      <c r="E41" s="47"/>
      <c r="F41" s="18"/>
      <c r="G41" s="18">
        <f t="shared" si="13"/>
        <v>265200</v>
      </c>
      <c r="H41" s="18">
        <f t="shared" si="11"/>
        <v>92</v>
      </c>
      <c r="I41" s="18">
        <f t="shared" si="12"/>
        <v>265108</v>
      </c>
      <c r="J41" s="18">
        <f>260308+4800</f>
        <v>265108</v>
      </c>
      <c r="K41" s="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" x14ac:dyDescent="0.35">
      <c r="A42" s="16" t="s">
        <v>161</v>
      </c>
      <c r="B42" s="18">
        <v>200000</v>
      </c>
      <c r="C42" s="47"/>
      <c r="D42" s="18"/>
      <c r="E42" s="60" t="s">
        <v>364</v>
      </c>
      <c r="F42" s="18">
        <f>100000+20000+80000</f>
        <v>200000</v>
      </c>
      <c r="G42" s="18">
        <f t="shared" si="13"/>
        <v>0</v>
      </c>
      <c r="H42" s="18">
        <f t="shared" si="11"/>
        <v>0</v>
      </c>
      <c r="I42" s="18">
        <f t="shared" si="12"/>
        <v>0</v>
      </c>
      <c r="J42" s="18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" x14ac:dyDescent="0.35">
      <c r="A43" s="16" t="s">
        <v>162</v>
      </c>
      <c r="B43" s="18">
        <v>15000</v>
      </c>
      <c r="C43" s="47"/>
      <c r="D43" s="18"/>
      <c r="E43" s="47"/>
      <c r="F43" s="18"/>
      <c r="G43" s="18">
        <f t="shared" si="13"/>
        <v>15000</v>
      </c>
      <c r="H43" s="18">
        <f t="shared" si="11"/>
        <v>1000</v>
      </c>
      <c r="I43" s="18">
        <f t="shared" si="12"/>
        <v>14000</v>
      </c>
      <c r="J43" s="18">
        <v>14000</v>
      </c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" x14ac:dyDescent="0.35">
      <c r="A44" s="16" t="s">
        <v>163</v>
      </c>
      <c r="B44" s="18">
        <v>15000</v>
      </c>
      <c r="C44" s="47"/>
      <c r="D44" s="18"/>
      <c r="E44" s="47"/>
      <c r="F44" s="18"/>
      <c r="G44" s="18">
        <f t="shared" si="13"/>
        <v>15000</v>
      </c>
      <c r="H44" s="18">
        <f t="shared" si="11"/>
        <v>7500</v>
      </c>
      <c r="I44" s="18">
        <f t="shared" si="12"/>
        <v>7500</v>
      </c>
      <c r="J44" s="63">
        <v>7500</v>
      </c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" x14ac:dyDescent="0.35">
      <c r="A45" s="16" t="s">
        <v>164</v>
      </c>
      <c r="B45" s="18">
        <v>5000</v>
      </c>
      <c r="C45" s="47"/>
      <c r="D45" s="18"/>
      <c r="E45" s="47"/>
      <c r="F45" s="18"/>
      <c r="G45" s="18">
        <f t="shared" si="13"/>
        <v>5000</v>
      </c>
      <c r="H45" s="18">
        <f t="shared" si="11"/>
        <v>5000</v>
      </c>
      <c r="I45" s="18">
        <f t="shared" si="12"/>
        <v>0</v>
      </c>
      <c r="J45" s="18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" x14ac:dyDescent="0.35">
      <c r="A46" s="16" t="s">
        <v>166</v>
      </c>
      <c r="B46" s="18">
        <v>10000</v>
      </c>
      <c r="C46" s="47"/>
      <c r="D46" s="18"/>
      <c r="E46" s="47" t="s">
        <v>372</v>
      </c>
      <c r="F46" s="18">
        <v>10000</v>
      </c>
      <c r="G46" s="18">
        <f t="shared" si="13"/>
        <v>0</v>
      </c>
      <c r="H46" s="18">
        <f t="shared" si="11"/>
        <v>0</v>
      </c>
      <c r="I46" s="18">
        <f t="shared" si="12"/>
        <v>0</v>
      </c>
      <c r="J46" s="18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" x14ac:dyDescent="0.35">
      <c r="A47" s="16" t="s">
        <v>167</v>
      </c>
      <c r="B47" s="18">
        <v>400000</v>
      </c>
      <c r="C47" s="47"/>
      <c r="D47" s="18"/>
      <c r="E47" s="60" t="s">
        <v>398</v>
      </c>
      <c r="F47" s="18">
        <v>189500</v>
      </c>
      <c r="G47" s="18">
        <f t="shared" si="13"/>
        <v>210500</v>
      </c>
      <c r="H47" s="18">
        <f t="shared" si="11"/>
        <v>300</v>
      </c>
      <c r="I47" s="18">
        <f t="shared" si="12"/>
        <v>210200</v>
      </c>
      <c r="J47" s="63">
        <v>210200</v>
      </c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" x14ac:dyDescent="0.35">
      <c r="A48" s="16" t="s">
        <v>169</v>
      </c>
      <c r="B48" s="18">
        <v>190000</v>
      </c>
      <c r="C48" s="60"/>
      <c r="D48" s="18"/>
      <c r="E48" s="47" t="s">
        <v>399</v>
      </c>
      <c r="F48" s="18">
        <f>7500+1000</f>
        <v>8500</v>
      </c>
      <c r="G48" s="18">
        <f t="shared" si="13"/>
        <v>181500</v>
      </c>
      <c r="H48" s="18">
        <f t="shared" si="11"/>
        <v>92534.51</v>
      </c>
      <c r="I48" s="18">
        <f t="shared" si="12"/>
        <v>88965.49</v>
      </c>
      <c r="J48" s="18">
        <v>88965.49</v>
      </c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" x14ac:dyDescent="0.35">
      <c r="A49" s="16" t="s">
        <v>342</v>
      </c>
      <c r="B49" s="18"/>
      <c r="C49" s="60" t="s">
        <v>221</v>
      </c>
      <c r="D49" s="18">
        <v>15000</v>
      </c>
      <c r="E49" s="47"/>
      <c r="F49" s="18"/>
      <c r="G49" s="18">
        <f t="shared" si="13"/>
        <v>15000</v>
      </c>
      <c r="H49" s="18">
        <f t="shared" si="11"/>
        <v>15000</v>
      </c>
      <c r="I49" s="18">
        <f t="shared" si="12"/>
        <v>0</v>
      </c>
      <c r="J49" s="18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" x14ac:dyDescent="0.35">
      <c r="A50" s="16" t="s">
        <v>346</v>
      </c>
      <c r="B50" s="18"/>
      <c r="C50" s="60" t="s">
        <v>221</v>
      </c>
      <c r="D50" s="18">
        <v>30000</v>
      </c>
      <c r="E50" s="47"/>
      <c r="F50" s="18"/>
      <c r="G50" s="18">
        <f t="shared" si="13"/>
        <v>30000</v>
      </c>
      <c r="H50" s="18">
        <f t="shared" si="11"/>
        <v>330</v>
      </c>
      <c r="I50" s="18">
        <f t="shared" si="12"/>
        <v>29670</v>
      </c>
      <c r="J50" s="18">
        <v>29670</v>
      </c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" x14ac:dyDescent="0.35">
      <c r="A51" s="16" t="s">
        <v>354</v>
      </c>
      <c r="B51" s="18"/>
      <c r="C51" s="60" t="s">
        <v>352</v>
      </c>
      <c r="D51" s="18">
        <v>10000</v>
      </c>
      <c r="E51" s="47"/>
      <c r="F51" s="18"/>
      <c r="G51" s="18">
        <f t="shared" si="13"/>
        <v>10000</v>
      </c>
      <c r="H51" s="18">
        <f t="shared" si="11"/>
        <v>3700</v>
      </c>
      <c r="I51" s="18">
        <f t="shared" si="12"/>
        <v>6300</v>
      </c>
      <c r="J51" s="18">
        <v>6300</v>
      </c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" x14ac:dyDescent="0.35">
      <c r="A52" s="16" t="s">
        <v>186</v>
      </c>
      <c r="B52" s="18">
        <v>8000</v>
      </c>
      <c r="C52" s="47"/>
      <c r="D52" s="18"/>
      <c r="E52" s="47"/>
      <c r="F52" s="18"/>
      <c r="G52" s="18">
        <f t="shared" si="13"/>
        <v>8000</v>
      </c>
      <c r="H52" s="18">
        <f t="shared" si="11"/>
        <v>7810</v>
      </c>
      <c r="I52" s="18">
        <f t="shared" si="12"/>
        <v>190</v>
      </c>
      <c r="J52" s="18"/>
      <c r="K52" s="18">
        <v>190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" x14ac:dyDescent="0.35">
      <c r="A53" s="16" t="s">
        <v>187</v>
      </c>
      <c r="B53" s="18">
        <v>50000</v>
      </c>
      <c r="C53" s="47"/>
      <c r="D53" s="18"/>
      <c r="E53" s="47" t="s">
        <v>372</v>
      </c>
      <c r="F53" s="18">
        <v>4200</v>
      </c>
      <c r="G53" s="18">
        <f>B53+D53-F53</f>
        <v>45800</v>
      </c>
      <c r="H53" s="18">
        <f t="shared" si="11"/>
        <v>20582</v>
      </c>
      <c r="I53" s="18">
        <f t="shared" si="12"/>
        <v>25218</v>
      </c>
      <c r="J53" s="18"/>
      <c r="K53" s="18">
        <v>25218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" x14ac:dyDescent="0.35">
      <c r="A54" s="23"/>
      <c r="B54" s="39"/>
      <c r="C54" s="52"/>
      <c r="D54" s="41"/>
      <c r="E54" s="52"/>
      <c r="F54" s="41"/>
      <c r="G54" s="42" t="s">
        <v>2</v>
      </c>
      <c r="H54" s="42" t="s">
        <v>6</v>
      </c>
      <c r="I54" s="42" t="s">
        <v>7</v>
      </c>
      <c r="J54" s="177" t="s">
        <v>8</v>
      </c>
      <c r="K54" s="178"/>
      <c r="L54" s="1">
        <v>5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" x14ac:dyDescent="0.35">
      <c r="A55" s="24" t="s">
        <v>11</v>
      </c>
      <c r="B55" s="35" t="s">
        <v>2</v>
      </c>
      <c r="C55" s="53"/>
      <c r="D55" s="36" t="s">
        <v>3</v>
      </c>
      <c r="E55" s="53"/>
      <c r="F55" s="36" t="s">
        <v>4</v>
      </c>
      <c r="G55" s="35" t="s">
        <v>5</v>
      </c>
      <c r="H55" s="35" t="s">
        <v>2</v>
      </c>
      <c r="I55" s="44"/>
      <c r="J55" s="45" t="s">
        <v>9</v>
      </c>
      <c r="K55" s="45" t="s">
        <v>10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" x14ac:dyDescent="0.35">
      <c r="A56" s="16" t="s">
        <v>188</v>
      </c>
      <c r="B56" s="18">
        <v>350000</v>
      </c>
      <c r="C56" s="47"/>
      <c r="D56" s="18"/>
      <c r="E56" s="47"/>
      <c r="F56" s="18"/>
      <c r="G56" s="18">
        <f t="shared" ref="G56:G57" si="14">B56+D56-F56</f>
        <v>350000</v>
      </c>
      <c r="H56" s="18">
        <f t="shared" ref="H56:H58" si="15">G56-I56</f>
        <v>49874.799999999988</v>
      </c>
      <c r="I56" s="18">
        <f t="shared" ref="I56:I58" si="16">SUM(J56:K56)</f>
        <v>300125.2</v>
      </c>
      <c r="J56" s="63"/>
      <c r="K56" s="18">
        <v>300125.2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" x14ac:dyDescent="0.35">
      <c r="A57" s="16" t="s">
        <v>189</v>
      </c>
      <c r="B57" s="18">
        <v>60000</v>
      </c>
      <c r="C57" s="47"/>
      <c r="D57" s="18"/>
      <c r="E57" s="47"/>
      <c r="F57" s="18"/>
      <c r="G57" s="18">
        <f t="shared" si="14"/>
        <v>60000</v>
      </c>
      <c r="H57" s="18">
        <f t="shared" si="15"/>
        <v>58600</v>
      </c>
      <c r="I57" s="18">
        <f t="shared" si="16"/>
        <v>1400</v>
      </c>
      <c r="J57" s="18"/>
      <c r="K57" s="18">
        <v>1400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" x14ac:dyDescent="0.35">
      <c r="A58" s="16" t="s">
        <v>370</v>
      </c>
      <c r="B58" s="18"/>
      <c r="C58" s="47" t="s">
        <v>367</v>
      </c>
      <c r="D58" s="18">
        <v>36000</v>
      </c>
      <c r="E58" s="47"/>
      <c r="F58" s="18"/>
      <c r="G58" s="18">
        <f>B58+D58-F58</f>
        <v>36000</v>
      </c>
      <c r="H58" s="18">
        <f t="shared" si="15"/>
        <v>0</v>
      </c>
      <c r="I58" s="18">
        <f t="shared" si="16"/>
        <v>36000</v>
      </c>
      <c r="J58" s="18"/>
      <c r="K58" s="18">
        <v>36000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" x14ac:dyDescent="0.35">
      <c r="A59" s="127"/>
      <c r="B59" s="128">
        <f>SUM(B39:B58)</f>
        <v>1764000</v>
      </c>
      <c r="C59" s="129"/>
      <c r="D59" s="128">
        <f>SUM(D39:D58)</f>
        <v>221200</v>
      </c>
      <c r="E59" s="129"/>
      <c r="F59" s="128">
        <f t="shared" ref="F59:H59" si="17">SUM(F39:F58)</f>
        <v>412200</v>
      </c>
      <c r="G59" s="128">
        <f t="shared" si="17"/>
        <v>1573000</v>
      </c>
      <c r="H59" s="128">
        <f t="shared" si="17"/>
        <v>287232.40000000002</v>
      </c>
      <c r="I59" s="128">
        <f>SUM(I39:I58)</f>
        <v>1285767.5999999999</v>
      </c>
      <c r="J59" s="128">
        <f>SUM(J39:J58)</f>
        <v>922834.39999999991</v>
      </c>
      <c r="K59" s="128">
        <f>SUM(K39:K58)</f>
        <v>362933.2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" x14ac:dyDescent="0.35">
      <c r="A60" s="28" t="s">
        <v>116</v>
      </c>
      <c r="B60" s="18"/>
      <c r="C60" s="47"/>
      <c r="D60" s="18"/>
      <c r="E60" s="47"/>
      <c r="F60" s="18"/>
      <c r="G60" s="18"/>
      <c r="H60" s="18"/>
      <c r="I60" s="63"/>
      <c r="J60" s="63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" x14ac:dyDescent="0.35">
      <c r="A61" s="16" t="s">
        <v>257</v>
      </c>
      <c r="B61" s="18">
        <v>10000</v>
      </c>
      <c r="C61" s="47"/>
      <c r="D61" s="18"/>
      <c r="E61" s="47"/>
      <c r="F61" s="18"/>
      <c r="G61" s="18">
        <f t="shared" ref="G61:G68" si="18">B61+D61-F61</f>
        <v>10000</v>
      </c>
      <c r="H61" s="18">
        <f t="shared" ref="H61:H68" si="19">G61-I61</f>
        <v>6654</v>
      </c>
      <c r="I61" s="18">
        <f>SUM(J61:K61)</f>
        <v>3346</v>
      </c>
      <c r="J61" s="63">
        <v>3346</v>
      </c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" x14ac:dyDescent="0.35">
      <c r="A62" s="16" t="s">
        <v>170</v>
      </c>
      <c r="B62" s="18">
        <v>250000</v>
      </c>
      <c r="C62" s="47"/>
      <c r="D62" s="18"/>
      <c r="E62" s="47"/>
      <c r="F62" s="18"/>
      <c r="G62" s="18">
        <f t="shared" si="18"/>
        <v>250000</v>
      </c>
      <c r="H62" s="18">
        <f t="shared" si="19"/>
        <v>107523.25</v>
      </c>
      <c r="I62" s="18">
        <f t="shared" ref="I62:I67" si="20">SUM(J62:K62)</f>
        <v>142476.75</v>
      </c>
      <c r="J62" s="18">
        <v>142476.75</v>
      </c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" x14ac:dyDescent="0.35">
      <c r="A63" s="16" t="s">
        <v>52</v>
      </c>
      <c r="B63" s="18">
        <v>10000</v>
      </c>
      <c r="C63" s="47"/>
      <c r="D63" s="18"/>
      <c r="E63" s="47"/>
      <c r="F63" s="18"/>
      <c r="G63" s="18">
        <f t="shared" si="18"/>
        <v>10000</v>
      </c>
      <c r="H63" s="18">
        <f t="shared" si="19"/>
        <v>1470</v>
      </c>
      <c r="I63" s="18">
        <f t="shared" si="20"/>
        <v>8530</v>
      </c>
      <c r="J63" s="18">
        <v>8530</v>
      </c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" x14ac:dyDescent="0.35">
      <c r="A64" s="16" t="s">
        <v>343</v>
      </c>
      <c r="B64" s="18"/>
      <c r="C64" s="47" t="s">
        <v>221</v>
      </c>
      <c r="D64" s="18">
        <v>42000</v>
      </c>
      <c r="E64" s="47"/>
      <c r="F64" s="18"/>
      <c r="G64" s="18">
        <f t="shared" si="18"/>
        <v>42000</v>
      </c>
      <c r="H64" s="18">
        <f t="shared" si="19"/>
        <v>0</v>
      </c>
      <c r="I64" s="18">
        <f t="shared" si="20"/>
        <v>42000</v>
      </c>
      <c r="J64" s="18">
        <v>42000</v>
      </c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" x14ac:dyDescent="0.35">
      <c r="A65" s="16" t="s">
        <v>344</v>
      </c>
      <c r="B65" s="18"/>
      <c r="C65" s="47" t="s">
        <v>221</v>
      </c>
      <c r="D65" s="18">
        <v>2500</v>
      </c>
      <c r="E65" s="47"/>
      <c r="F65" s="18"/>
      <c r="G65" s="18">
        <f t="shared" si="18"/>
        <v>2500</v>
      </c>
      <c r="H65" s="18">
        <f t="shared" si="19"/>
        <v>2500</v>
      </c>
      <c r="I65" s="18">
        <f t="shared" si="20"/>
        <v>0</v>
      </c>
      <c r="J65" s="18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" x14ac:dyDescent="0.35">
      <c r="A66" s="16" t="s">
        <v>345</v>
      </c>
      <c r="B66" s="18"/>
      <c r="C66" s="47" t="s">
        <v>399</v>
      </c>
      <c r="D66" s="18">
        <f>5000+1000</f>
        <v>6000</v>
      </c>
      <c r="E66" s="47"/>
      <c r="F66" s="18"/>
      <c r="G66" s="18">
        <f t="shared" si="18"/>
        <v>6000</v>
      </c>
      <c r="H66" s="18">
        <f t="shared" si="19"/>
        <v>916</v>
      </c>
      <c r="I66" s="18">
        <f t="shared" si="20"/>
        <v>5084</v>
      </c>
      <c r="J66" s="18">
        <v>5084</v>
      </c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" x14ac:dyDescent="0.35">
      <c r="A67" s="16" t="s">
        <v>190</v>
      </c>
      <c r="B67" s="18">
        <v>81000</v>
      </c>
      <c r="C67" s="47"/>
      <c r="D67" s="18"/>
      <c r="E67" s="47"/>
      <c r="F67" s="18"/>
      <c r="G67" s="18">
        <f t="shared" si="18"/>
        <v>81000</v>
      </c>
      <c r="H67" s="18">
        <f t="shared" si="19"/>
        <v>56760</v>
      </c>
      <c r="I67" s="18">
        <f t="shared" si="20"/>
        <v>24240</v>
      </c>
      <c r="J67" s="18"/>
      <c r="K67" s="18">
        <v>24240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" x14ac:dyDescent="0.35">
      <c r="A68" s="16" t="s">
        <v>191</v>
      </c>
      <c r="B68" s="18">
        <v>98000</v>
      </c>
      <c r="C68" s="47"/>
      <c r="D68" s="18"/>
      <c r="E68" s="47"/>
      <c r="F68" s="18"/>
      <c r="G68" s="18">
        <f t="shared" si="18"/>
        <v>98000</v>
      </c>
      <c r="H68" s="18">
        <f t="shared" si="19"/>
        <v>1223.8999999999942</v>
      </c>
      <c r="I68" s="18">
        <f>SUM(J68:K68)</f>
        <v>96776.1</v>
      </c>
      <c r="J68" s="18"/>
      <c r="K68" s="18">
        <v>96776.1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" x14ac:dyDescent="0.35">
      <c r="A69" s="127"/>
      <c r="B69" s="128">
        <f>SUM(B61:B68)</f>
        <v>449000</v>
      </c>
      <c r="C69" s="129"/>
      <c r="D69" s="128">
        <f>SUM(D61:D68)</f>
        <v>50500</v>
      </c>
      <c r="E69" s="129"/>
      <c r="F69" s="128">
        <f>SUM(F61:F68)</f>
        <v>0</v>
      </c>
      <c r="G69" s="128">
        <f>SUM(G61:G68)</f>
        <v>499500</v>
      </c>
      <c r="H69" s="128">
        <f t="shared" ref="H69" si="21">SUM(H61:H68)</f>
        <v>177047.15</v>
      </c>
      <c r="I69" s="128">
        <f>SUM(I61:I68)</f>
        <v>322452.84999999998</v>
      </c>
      <c r="J69" s="128">
        <f>SUM(J61:J68)</f>
        <v>201436.75</v>
      </c>
      <c r="K69" s="128">
        <f>SUM(K61:K68)</f>
        <v>121016.1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" x14ac:dyDescent="0.35">
      <c r="A70" s="28" t="s">
        <v>256</v>
      </c>
      <c r="B70" s="18"/>
      <c r="C70" s="47"/>
      <c r="D70" s="18"/>
      <c r="E70" s="47"/>
      <c r="F70" s="18"/>
      <c r="G70" s="18"/>
      <c r="H70" s="18"/>
      <c r="I70" s="18"/>
      <c r="J70" s="18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" x14ac:dyDescent="0.35">
      <c r="A71" s="16" t="s">
        <v>258</v>
      </c>
      <c r="B71" s="18">
        <v>360000</v>
      </c>
      <c r="C71" s="47"/>
      <c r="D71" s="18"/>
      <c r="E71" s="47"/>
      <c r="F71" s="18"/>
      <c r="G71" s="18">
        <f t="shared" ref="G71:G74" si="22">B71+D71-F71</f>
        <v>360000</v>
      </c>
      <c r="H71" s="18">
        <f t="shared" ref="H71:H75" si="23">G71-I71</f>
        <v>50761.950000000012</v>
      </c>
      <c r="I71" s="18">
        <f t="shared" ref="I71:I75" si="24">SUM(J71:K71)</f>
        <v>309238.05</v>
      </c>
      <c r="J71" s="18">
        <v>309238.05</v>
      </c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" x14ac:dyDescent="0.35">
      <c r="A72" s="16" t="s">
        <v>173</v>
      </c>
      <c r="B72" s="18">
        <v>15000</v>
      </c>
      <c r="C72" s="47"/>
      <c r="D72" s="18"/>
      <c r="E72" s="47"/>
      <c r="F72" s="18"/>
      <c r="G72" s="18">
        <f t="shared" si="22"/>
        <v>15000</v>
      </c>
      <c r="H72" s="18">
        <f t="shared" si="23"/>
        <v>6050.52</v>
      </c>
      <c r="I72" s="18">
        <f t="shared" si="24"/>
        <v>8949.48</v>
      </c>
      <c r="J72" s="18">
        <v>8949.48</v>
      </c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" x14ac:dyDescent="0.35">
      <c r="A73" s="16" t="s">
        <v>174</v>
      </c>
      <c r="B73" s="18">
        <v>13000</v>
      </c>
      <c r="C73" s="47"/>
      <c r="D73" s="18"/>
      <c r="E73" s="47"/>
      <c r="F73" s="18"/>
      <c r="G73" s="18">
        <f t="shared" si="22"/>
        <v>13000</v>
      </c>
      <c r="H73" s="18">
        <f t="shared" si="23"/>
        <v>1444</v>
      </c>
      <c r="I73" s="18">
        <f t="shared" si="24"/>
        <v>11556</v>
      </c>
      <c r="J73" s="18">
        <v>11556</v>
      </c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" x14ac:dyDescent="0.35">
      <c r="A74" s="16" t="s">
        <v>172</v>
      </c>
      <c r="B74" s="18">
        <v>12000</v>
      </c>
      <c r="C74" s="47"/>
      <c r="D74" s="18"/>
      <c r="E74" s="47"/>
      <c r="F74" s="18"/>
      <c r="G74" s="18">
        <f t="shared" si="22"/>
        <v>12000</v>
      </c>
      <c r="H74" s="18">
        <f t="shared" si="23"/>
        <v>4516.8999999999996</v>
      </c>
      <c r="I74" s="18">
        <f t="shared" si="24"/>
        <v>7483.1</v>
      </c>
      <c r="J74" s="18">
        <v>7483.1</v>
      </c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" x14ac:dyDescent="0.35">
      <c r="A75" s="22" t="s">
        <v>192</v>
      </c>
      <c r="B75" s="18">
        <v>7000</v>
      </c>
      <c r="C75" s="47" t="s">
        <v>372</v>
      </c>
      <c r="D75" s="18">
        <v>5000</v>
      </c>
      <c r="E75" s="47"/>
      <c r="F75" s="18"/>
      <c r="G75" s="18">
        <f>B75+D75-F75</f>
        <v>12000</v>
      </c>
      <c r="H75" s="18">
        <f t="shared" si="23"/>
        <v>3715</v>
      </c>
      <c r="I75" s="18">
        <f t="shared" si="24"/>
        <v>8285</v>
      </c>
      <c r="J75" s="18"/>
      <c r="K75" s="18">
        <v>8285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" x14ac:dyDescent="0.35">
      <c r="A76" s="93"/>
      <c r="B76" s="91">
        <f>SUM(B71:B75)</f>
        <v>407000</v>
      </c>
      <c r="C76" s="92"/>
      <c r="D76" s="91">
        <f>SUM(D71:D75)</f>
        <v>5000</v>
      </c>
      <c r="E76" s="92"/>
      <c r="F76" s="91">
        <f>SUM(F71:F75)</f>
        <v>0</v>
      </c>
      <c r="G76" s="91">
        <f>SUM(G71:G75)</f>
        <v>412000</v>
      </c>
      <c r="H76" s="91">
        <f t="shared" ref="H76:K76" si="25">SUM(H71:H75)</f>
        <v>66488.370000000024</v>
      </c>
      <c r="I76" s="91">
        <f t="shared" si="25"/>
        <v>345511.62999999995</v>
      </c>
      <c r="J76" s="91">
        <f t="shared" si="25"/>
        <v>337226.62999999995</v>
      </c>
      <c r="K76" s="91">
        <f t="shared" si="25"/>
        <v>8285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" x14ac:dyDescent="0.35">
      <c r="A77" s="23"/>
      <c r="B77" s="39"/>
      <c r="C77" s="52"/>
      <c r="D77" s="41"/>
      <c r="E77" s="52"/>
      <c r="F77" s="41"/>
      <c r="G77" s="42" t="s">
        <v>2</v>
      </c>
      <c r="H77" s="42" t="s">
        <v>6</v>
      </c>
      <c r="I77" s="42" t="s">
        <v>7</v>
      </c>
      <c r="J77" s="177" t="s">
        <v>8</v>
      </c>
      <c r="K77" s="178"/>
      <c r="L77" s="1">
        <v>6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" x14ac:dyDescent="0.35">
      <c r="A78" s="24" t="s">
        <v>11</v>
      </c>
      <c r="B78" s="35" t="s">
        <v>2</v>
      </c>
      <c r="C78" s="53"/>
      <c r="D78" s="36" t="s">
        <v>3</v>
      </c>
      <c r="E78" s="53"/>
      <c r="F78" s="36" t="s">
        <v>4</v>
      </c>
      <c r="G78" s="35" t="s">
        <v>5</v>
      </c>
      <c r="H78" s="35" t="s">
        <v>2</v>
      </c>
      <c r="I78" s="44"/>
      <c r="J78" s="45" t="s">
        <v>9</v>
      </c>
      <c r="K78" s="45" t="s">
        <v>10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" x14ac:dyDescent="0.35">
      <c r="A79" s="28" t="s">
        <v>259</v>
      </c>
      <c r="B79" s="21"/>
      <c r="C79" s="50"/>
      <c r="D79" s="21"/>
      <c r="E79" s="50"/>
      <c r="F79" s="21"/>
      <c r="G79" s="21"/>
      <c r="H79" s="21"/>
      <c r="I79" s="21"/>
      <c r="J79" s="21"/>
      <c r="K79" s="2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" x14ac:dyDescent="0.35">
      <c r="A80" s="16" t="s">
        <v>255</v>
      </c>
      <c r="B80" s="21">
        <v>15000</v>
      </c>
      <c r="C80" s="50"/>
      <c r="D80" s="21"/>
      <c r="E80" s="50"/>
      <c r="F80" s="21"/>
      <c r="G80" s="18">
        <f>B80+D80-F80</f>
        <v>15000</v>
      </c>
      <c r="H80" s="18">
        <f t="shared" ref="H80:H94" si="26">G80-I80</f>
        <v>9710</v>
      </c>
      <c r="I80" s="21">
        <f t="shared" ref="I80:I94" si="27">SUM(J80:K80)</f>
        <v>5290</v>
      </c>
      <c r="J80" s="21">
        <v>5290</v>
      </c>
      <c r="K80" s="2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" x14ac:dyDescent="0.35">
      <c r="A81" s="16" t="s">
        <v>244</v>
      </c>
      <c r="B81" s="21">
        <v>7800</v>
      </c>
      <c r="C81" s="50"/>
      <c r="D81" s="21"/>
      <c r="E81" s="50"/>
      <c r="F81" s="21"/>
      <c r="G81" s="18">
        <f t="shared" ref="G81:G94" si="28">B81+D81-F81</f>
        <v>7800</v>
      </c>
      <c r="H81" s="18">
        <f t="shared" si="26"/>
        <v>200</v>
      </c>
      <c r="I81" s="21">
        <f t="shared" si="27"/>
        <v>7600</v>
      </c>
      <c r="J81" s="21">
        <v>7600</v>
      </c>
      <c r="K81" s="2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" x14ac:dyDescent="0.35">
      <c r="A82" s="16" t="s">
        <v>245</v>
      </c>
      <c r="B82" s="21">
        <v>170000</v>
      </c>
      <c r="C82" s="50"/>
      <c r="D82" s="21"/>
      <c r="E82" s="50" t="s">
        <v>221</v>
      </c>
      <c r="F82" s="21">
        <v>70000</v>
      </c>
      <c r="G82" s="18">
        <f t="shared" si="28"/>
        <v>100000</v>
      </c>
      <c r="H82" s="18">
        <f t="shared" si="26"/>
        <v>500</v>
      </c>
      <c r="I82" s="21">
        <f t="shared" si="27"/>
        <v>99500</v>
      </c>
      <c r="J82" s="64">
        <v>99500</v>
      </c>
      <c r="K82" s="2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" x14ac:dyDescent="0.35">
      <c r="A83" s="16" t="s">
        <v>246</v>
      </c>
      <c r="B83" s="21">
        <v>5000</v>
      </c>
      <c r="C83" s="50"/>
      <c r="D83" s="21"/>
      <c r="E83" s="96"/>
      <c r="F83" s="21"/>
      <c r="G83" s="18">
        <f t="shared" si="28"/>
        <v>5000</v>
      </c>
      <c r="H83" s="18">
        <f t="shared" si="26"/>
        <v>900</v>
      </c>
      <c r="I83" s="21">
        <f t="shared" si="27"/>
        <v>4100</v>
      </c>
      <c r="J83" s="64">
        <v>4100</v>
      </c>
      <c r="K83" s="2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" x14ac:dyDescent="0.35">
      <c r="A84" s="16" t="s">
        <v>341</v>
      </c>
      <c r="B84" s="21"/>
      <c r="C84" s="50" t="s">
        <v>221</v>
      </c>
      <c r="D84" s="21">
        <v>13000</v>
      </c>
      <c r="E84" s="50"/>
      <c r="F84" s="21"/>
      <c r="G84" s="18">
        <f t="shared" si="28"/>
        <v>13000</v>
      </c>
      <c r="H84" s="18">
        <f t="shared" si="26"/>
        <v>1000</v>
      </c>
      <c r="I84" s="21">
        <f t="shared" si="27"/>
        <v>12000</v>
      </c>
      <c r="J84" s="64">
        <v>12000</v>
      </c>
      <c r="K84" s="2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" x14ac:dyDescent="0.35">
      <c r="A85" s="16" t="s">
        <v>254</v>
      </c>
      <c r="B85" s="21">
        <v>20000</v>
      </c>
      <c r="C85" s="50"/>
      <c r="D85" s="21"/>
      <c r="E85" s="50"/>
      <c r="F85" s="21"/>
      <c r="G85" s="18">
        <f t="shared" si="28"/>
        <v>20000</v>
      </c>
      <c r="H85" s="18">
        <f t="shared" si="26"/>
        <v>4300</v>
      </c>
      <c r="I85" s="21">
        <f t="shared" si="27"/>
        <v>15700</v>
      </c>
      <c r="J85" s="64"/>
      <c r="K85" s="21">
        <v>15700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" x14ac:dyDescent="0.35">
      <c r="A86" s="16" t="s">
        <v>247</v>
      </c>
      <c r="B86" s="21">
        <v>10000</v>
      </c>
      <c r="C86" s="50"/>
      <c r="D86" s="21"/>
      <c r="E86" s="50"/>
      <c r="F86" s="21"/>
      <c r="G86" s="18">
        <f t="shared" si="28"/>
        <v>10000</v>
      </c>
      <c r="H86" s="18">
        <f t="shared" si="26"/>
        <v>0</v>
      </c>
      <c r="I86" s="21">
        <f t="shared" si="27"/>
        <v>10000</v>
      </c>
      <c r="J86" s="64"/>
      <c r="K86" s="21">
        <v>10000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" x14ac:dyDescent="0.35">
      <c r="A87" s="16" t="s">
        <v>246</v>
      </c>
      <c r="B87" s="21">
        <v>5000</v>
      </c>
      <c r="C87" s="50"/>
      <c r="D87" s="21"/>
      <c r="E87" s="50"/>
      <c r="F87" s="21"/>
      <c r="G87" s="18">
        <f t="shared" si="28"/>
        <v>5000</v>
      </c>
      <c r="H87" s="18">
        <f t="shared" si="26"/>
        <v>900</v>
      </c>
      <c r="I87" s="21">
        <f t="shared" si="27"/>
        <v>4100</v>
      </c>
      <c r="J87" s="64"/>
      <c r="K87" s="21">
        <v>4100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" x14ac:dyDescent="0.35">
      <c r="A88" s="16" t="s">
        <v>248</v>
      </c>
      <c r="B88" s="21">
        <v>2300</v>
      </c>
      <c r="C88" s="50"/>
      <c r="D88" s="21"/>
      <c r="E88" s="50"/>
      <c r="F88" s="21"/>
      <c r="G88" s="18">
        <f t="shared" si="28"/>
        <v>2300</v>
      </c>
      <c r="H88" s="18">
        <f t="shared" si="26"/>
        <v>0</v>
      </c>
      <c r="I88" s="21">
        <f t="shared" si="27"/>
        <v>2300</v>
      </c>
      <c r="J88" s="64"/>
      <c r="K88" s="21">
        <v>2300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" x14ac:dyDescent="0.35">
      <c r="A89" s="16" t="s">
        <v>249</v>
      </c>
      <c r="B89" s="21">
        <v>10000</v>
      </c>
      <c r="C89" s="50"/>
      <c r="D89" s="21"/>
      <c r="E89" s="50"/>
      <c r="F89" s="21"/>
      <c r="G89" s="18">
        <f t="shared" si="28"/>
        <v>10000</v>
      </c>
      <c r="H89" s="18">
        <f t="shared" si="26"/>
        <v>1010</v>
      </c>
      <c r="I89" s="21">
        <f t="shared" si="27"/>
        <v>8990</v>
      </c>
      <c r="J89" s="64"/>
      <c r="K89" s="21">
        <v>8990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" x14ac:dyDescent="0.35">
      <c r="A90" s="16" t="s">
        <v>356</v>
      </c>
      <c r="B90" s="21"/>
      <c r="C90" s="50" t="s">
        <v>352</v>
      </c>
      <c r="D90" s="21">
        <v>20000</v>
      </c>
      <c r="E90" s="50"/>
      <c r="F90" s="21"/>
      <c r="G90" s="18">
        <f t="shared" si="28"/>
        <v>20000</v>
      </c>
      <c r="H90" s="18">
        <f t="shared" si="26"/>
        <v>2500</v>
      </c>
      <c r="I90" s="21">
        <f t="shared" si="27"/>
        <v>17500</v>
      </c>
      <c r="J90" s="64"/>
      <c r="K90" s="21">
        <v>17500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" x14ac:dyDescent="0.35">
      <c r="A91" s="16" t="s">
        <v>417</v>
      </c>
      <c r="B91" s="21"/>
      <c r="C91" s="50" t="s">
        <v>381</v>
      </c>
      <c r="D91" s="21">
        <v>25000</v>
      </c>
      <c r="E91" s="50"/>
      <c r="F91" s="21"/>
      <c r="G91" s="18">
        <f t="shared" si="28"/>
        <v>25000</v>
      </c>
      <c r="H91" s="18">
        <f t="shared" si="26"/>
        <v>2000</v>
      </c>
      <c r="I91" s="21">
        <f t="shared" si="27"/>
        <v>23000</v>
      </c>
      <c r="J91" s="64">
        <v>23000</v>
      </c>
      <c r="K91" s="2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" x14ac:dyDescent="0.35">
      <c r="A92" s="16" t="s">
        <v>383</v>
      </c>
      <c r="B92" s="21"/>
      <c r="C92" s="50" t="s">
        <v>381</v>
      </c>
      <c r="D92" s="21">
        <v>23000</v>
      </c>
      <c r="E92" s="50"/>
      <c r="F92" s="21"/>
      <c r="G92" s="18">
        <f t="shared" si="28"/>
        <v>23000</v>
      </c>
      <c r="H92" s="18">
        <f t="shared" si="26"/>
        <v>0</v>
      </c>
      <c r="I92" s="21">
        <f t="shared" si="27"/>
        <v>23000</v>
      </c>
      <c r="J92" s="64">
        <v>23000</v>
      </c>
      <c r="K92" s="2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" x14ac:dyDescent="0.35">
      <c r="A93" s="16" t="s">
        <v>385</v>
      </c>
      <c r="B93" s="21"/>
      <c r="C93" s="50" t="s">
        <v>381</v>
      </c>
      <c r="D93" s="21">
        <v>80000</v>
      </c>
      <c r="E93" s="50"/>
      <c r="F93" s="21"/>
      <c r="G93" s="18">
        <f t="shared" si="28"/>
        <v>80000</v>
      </c>
      <c r="H93" s="18">
        <f t="shared" si="26"/>
        <v>220</v>
      </c>
      <c r="I93" s="21">
        <f t="shared" si="27"/>
        <v>79780</v>
      </c>
      <c r="J93" s="64">
        <v>79780</v>
      </c>
      <c r="K93" s="2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" x14ac:dyDescent="0.35">
      <c r="A94" s="16" t="s">
        <v>386</v>
      </c>
      <c r="B94" s="21"/>
      <c r="C94" s="50" t="s">
        <v>381</v>
      </c>
      <c r="D94" s="21">
        <v>70000</v>
      </c>
      <c r="E94" s="50"/>
      <c r="F94" s="21"/>
      <c r="G94" s="18">
        <f t="shared" si="28"/>
        <v>70000</v>
      </c>
      <c r="H94" s="18">
        <f t="shared" si="26"/>
        <v>0</v>
      </c>
      <c r="I94" s="21">
        <f t="shared" si="27"/>
        <v>70000</v>
      </c>
      <c r="J94" s="64">
        <v>70000</v>
      </c>
      <c r="K94" s="2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" x14ac:dyDescent="0.35">
      <c r="A95" s="127"/>
      <c r="B95" s="128">
        <f>SUM(B80:B94)</f>
        <v>245100</v>
      </c>
      <c r="C95" s="129"/>
      <c r="D95" s="128">
        <f>SUM(D80:D94)</f>
        <v>231000</v>
      </c>
      <c r="E95" s="129"/>
      <c r="F95" s="128">
        <f t="shared" ref="F95:K95" si="29">SUM(F80:F94)</f>
        <v>70000</v>
      </c>
      <c r="G95" s="128">
        <f t="shared" si="29"/>
        <v>406100</v>
      </c>
      <c r="H95" s="128">
        <f t="shared" si="29"/>
        <v>23240</v>
      </c>
      <c r="I95" s="128">
        <f>SUM(I80:I94)</f>
        <v>382860</v>
      </c>
      <c r="J95" s="128">
        <f t="shared" si="29"/>
        <v>324270</v>
      </c>
      <c r="K95" s="128">
        <f t="shared" si="29"/>
        <v>58590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" x14ac:dyDescent="0.35">
      <c r="A96" s="51" t="s">
        <v>262</v>
      </c>
      <c r="B96" s="21"/>
      <c r="C96" s="50"/>
      <c r="D96" s="21"/>
      <c r="E96" s="50"/>
      <c r="F96" s="21"/>
      <c r="G96" s="21"/>
      <c r="H96" s="21"/>
      <c r="I96" s="21"/>
      <c r="J96" s="21"/>
      <c r="K96" s="2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" x14ac:dyDescent="0.35">
      <c r="A97" s="20" t="s">
        <v>382</v>
      </c>
      <c r="B97" s="21"/>
      <c r="C97" s="50" t="s">
        <v>381</v>
      </c>
      <c r="D97" s="21">
        <v>90000</v>
      </c>
      <c r="E97" s="50"/>
      <c r="F97" s="21"/>
      <c r="G97" s="18">
        <f t="shared" ref="G97" si="30">B97+D97-F97</f>
        <v>90000</v>
      </c>
      <c r="H97" s="18">
        <f>G97-I97</f>
        <v>19000</v>
      </c>
      <c r="I97" s="18">
        <f>SUM(J97:K97)</f>
        <v>71000</v>
      </c>
      <c r="J97" s="21">
        <v>71000</v>
      </c>
      <c r="K97" s="2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" x14ac:dyDescent="0.35">
      <c r="A98" s="127"/>
      <c r="B98" s="128"/>
      <c r="C98" s="129"/>
      <c r="D98" s="128">
        <f>SUM(D97)</f>
        <v>90000</v>
      </c>
      <c r="E98" s="129"/>
      <c r="F98" s="128">
        <f t="shared" ref="F98:K98" si="31">SUM(F97)</f>
        <v>0</v>
      </c>
      <c r="G98" s="128">
        <f t="shared" si="31"/>
        <v>90000</v>
      </c>
      <c r="H98" s="128">
        <f t="shared" si="31"/>
        <v>19000</v>
      </c>
      <c r="I98" s="128">
        <f t="shared" si="31"/>
        <v>71000</v>
      </c>
      <c r="J98" s="128">
        <f t="shared" si="31"/>
        <v>71000</v>
      </c>
      <c r="K98" s="128">
        <f t="shared" si="31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" x14ac:dyDescent="0.35">
      <c r="A99" s="51" t="s">
        <v>410</v>
      </c>
      <c r="B99" s="21"/>
      <c r="C99" s="50"/>
      <c r="D99" s="21"/>
      <c r="E99" s="50"/>
      <c r="F99" s="21"/>
      <c r="G99" s="21"/>
      <c r="H99" s="21"/>
      <c r="I99" s="21"/>
      <c r="J99" s="21"/>
      <c r="K99" s="2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" x14ac:dyDescent="0.35">
      <c r="A100" s="20" t="s">
        <v>411</v>
      </c>
      <c r="B100" s="21"/>
      <c r="C100" s="50" t="s">
        <v>403</v>
      </c>
      <c r="D100" s="21">
        <v>891720</v>
      </c>
      <c r="E100" s="50"/>
      <c r="F100" s="21"/>
      <c r="G100" s="18">
        <f t="shared" ref="G100" si="32">B100+D100-F100</f>
        <v>891720</v>
      </c>
      <c r="H100" s="18">
        <f>G100-I100</f>
        <v>2099.6999999999534</v>
      </c>
      <c r="I100" s="18">
        <f>SUM(J100:K100)</f>
        <v>889620.3</v>
      </c>
      <c r="J100" s="21">
        <v>889620.3</v>
      </c>
      <c r="K100" s="2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" x14ac:dyDescent="0.35">
      <c r="A101" s="127"/>
      <c r="B101" s="128"/>
      <c r="C101" s="129"/>
      <c r="D101" s="128">
        <f>SUM(D100)</f>
        <v>891720</v>
      </c>
      <c r="E101" s="129"/>
      <c r="F101" s="128">
        <f t="shared" ref="F101:K101" si="33">SUM(F100)</f>
        <v>0</v>
      </c>
      <c r="G101" s="128">
        <f t="shared" si="33"/>
        <v>891720</v>
      </c>
      <c r="H101" s="128">
        <f t="shared" si="33"/>
        <v>2099.6999999999534</v>
      </c>
      <c r="I101" s="128">
        <f t="shared" si="33"/>
        <v>889620.3</v>
      </c>
      <c r="J101" s="128">
        <f t="shared" si="33"/>
        <v>889620.3</v>
      </c>
      <c r="K101" s="128">
        <f t="shared" si="33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" x14ac:dyDescent="0.35">
      <c r="A102" s="88" t="s">
        <v>68</v>
      </c>
      <c r="B102" s="133">
        <f>B12+B24+B37+B59+B69+B76+B95</f>
        <v>9710660</v>
      </c>
      <c r="C102" s="134"/>
      <c r="D102" s="133">
        <f>D12+D24+D37+D59+D69+D76+D95+D98+D101</f>
        <v>2407853</v>
      </c>
      <c r="E102" s="134"/>
      <c r="F102" s="133">
        <f t="shared" ref="F102:K102" si="34">F12+F24+F37+F59+F69+F76+F95+F98+F101</f>
        <v>924183</v>
      </c>
      <c r="G102" s="133">
        <f t="shared" si="34"/>
        <v>11194330</v>
      </c>
      <c r="H102" s="133">
        <f>H12+H24+H37+H59+H69+H76+H95+H98+H101</f>
        <v>685524.62</v>
      </c>
      <c r="I102" s="133">
        <f>I12+I24+I37+I59+I69+I76+I95+I98+I101</f>
        <v>10508805.380000001</v>
      </c>
      <c r="J102" s="133">
        <f t="shared" si="34"/>
        <v>8537111.0800000001</v>
      </c>
      <c r="K102" s="133">
        <f t="shared" si="34"/>
        <v>1971694.3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" x14ac:dyDescent="0.35">
      <c r="A103" s="16"/>
      <c r="B103" s="18"/>
      <c r="C103" s="18"/>
      <c r="D103" s="18"/>
      <c r="E103" s="47"/>
      <c r="F103" s="18"/>
      <c r="G103" s="18"/>
      <c r="H103" s="18"/>
      <c r="I103" s="18"/>
      <c r="J103" s="18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" x14ac:dyDescent="0.35">
      <c r="A104" s="16"/>
      <c r="B104" s="18"/>
      <c r="C104" s="18"/>
      <c r="D104" s="18"/>
      <c r="E104" s="47"/>
      <c r="F104" s="18"/>
      <c r="G104" s="18"/>
      <c r="H104" s="18"/>
      <c r="I104" s="18"/>
      <c r="J104" s="18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" x14ac:dyDescent="0.35">
      <c r="A105" s="16"/>
      <c r="B105" s="18"/>
      <c r="C105" s="18"/>
      <c r="D105" s="18"/>
      <c r="E105" s="47"/>
      <c r="F105" s="18"/>
      <c r="G105" s="18"/>
      <c r="H105" s="18"/>
      <c r="I105" s="18"/>
      <c r="J105" s="18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" x14ac:dyDescent="0.35">
      <c r="A106" s="16"/>
      <c r="B106" s="18"/>
      <c r="C106" s="18"/>
      <c r="D106" s="18"/>
      <c r="E106" s="47"/>
      <c r="F106" s="18"/>
      <c r="G106" s="18"/>
      <c r="H106" s="18">
        <f>G106-I106</f>
        <v>0</v>
      </c>
      <c r="I106" s="18"/>
      <c r="J106" s="18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" x14ac:dyDescent="0.35">
      <c r="A107" s="16"/>
      <c r="B107" s="18"/>
      <c r="C107" s="18"/>
      <c r="D107" s="18"/>
      <c r="E107" s="47"/>
      <c r="F107" s="18"/>
      <c r="G107" s="18"/>
      <c r="H107" s="18"/>
      <c r="I107" s="18"/>
      <c r="J107" s="18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" x14ac:dyDescent="0.35">
      <c r="A108" s="16"/>
      <c r="B108" s="18"/>
      <c r="C108" s="18"/>
      <c r="D108" s="18"/>
      <c r="E108" s="47"/>
      <c r="F108" s="18"/>
      <c r="G108" s="18"/>
      <c r="H108" s="18"/>
      <c r="I108" s="18"/>
      <c r="J108" s="18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" x14ac:dyDescent="0.35">
      <c r="A109" s="16"/>
      <c r="B109" s="18"/>
      <c r="C109" s="18"/>
      <c r="D109" s="18"/>
      <c r="E109" s="47"/>
      <c r="F109" s="18"/>
      <c r="G109" s="18"/>
      <c r="H109" s="18"/>
      <c r="I109" s="18"/>
      <c r="J109" s="18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" x14ac:dyDescent="0.35">
      <c r="A110" s="16"/>
      <c r="B110" s="18"/>
      <c r="C110" s="18"/>
      <c r="D110" s="18"/>
      <c r="E110" s="47"/>
      <c r="F110" s="18"/>
      <c r="G110" s="18"/>
      <c r="H110" s="18"/>
      <c r="I110" s="18"/>
      <c r="J110" s="18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" x14ac:dyDescent="0.35">
      <c r="A111" s="16"/>
      <c r="B111" s="18"/>
      <c r="C111" s="18"/>
      <c r="D111" s="18"/>
      <c r="E111" s="47"/>
      <c r="F111" s="18"/>
      <c r="G111" s="18"/>
      <c r="H111" s="18"/>
      <c r="I111" s="18"/>
      <c r="J111" s="18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" x14ac:dyDescent="0.35">
      <c r="A112" s="16"/>
      <c r="B112" s="18"/>
      <c r="C112" s="18"/>
      <c r="D112" s="18"/>
      <c r="E112" s="47"/>
      <c r="F112" s="18"/>
      <c r="G112" s="18"/>
      <c r="H112" s="18"/>
      <c r="I112" s="18"/>
      <c r="J112" s="18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" x14ac:dyDescent="0.35">
      <c r="A113" s="16"/>
      <c r="B113" s="18"/>
      <c r="C113" s="18"/>
      <c r="D113" s="18"/>
      <c r="E113" s="47"/>
      <c r="F113" s="18"/>
      <c r="G113" s="18"/>
      <c r="H113" s="18"/>
      <c r="I113" s="18"/>
      <c r="J113" s="18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" x14ac:dyDescent="0.35">
      <c r="A114" s="16"/>
      <c r="B114" s="18"/>
      <c r="C114" s="18"/>
      <c r="D114" s="18"/>
      <c r="E114" s="47"/>
      <c r="F114" s="18"/>
      <c r="G114" s="18"/>
      <c r="H114" s="18"/>
      <c r="I114" s="18"/>
      <c r="J114" s="18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" x14ac:dyDescent="0.35">
      <c r="A115" s="16"/>
      <c r="B115" s="18"/>
      <c r="C115" s="18"/>
      <c r="D115" s="18"/>
      <c r="E115" s="47"/>
      <c r="F115" s="18"/>
      <c r="G115" s="18"/>
      <c r="H115" s="18"/>
      <c r="I115" s="18"/>
      <c r="J115" s="18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" x14ac:dyDescent="0.35">
      <c r="A116" s="16"/>
      <c r="B116" s="18"/>
      <c r="C116" s="18"/>
      <c r="D116" s="18"/>
      <c r="E116" s="47"/>
      <c r="F116" s="18"/>
      <c r="G116" s="18"/>
      <c r="H116" s="18"/>
      <c r="I116" s="18"/>
      <c r="J116" s="18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" x14ac:dyDescent="0.35">
      <c r="A117" s="16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" x14ac:dyDescent="0.35">
      <c r="A118" s="16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8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</sheetData>
  <mergeCells count="7">
    <mergeCell ref="J77:K77"/>
    <mergeCell ref="J54:K54"/>
    <mergeCell ref="J25:K25"/>
    <mergeCell ref="A1:K1"/>
    <mergeCell ref="A2:K2"/>
    <mergeCell ref="A3:K3"/>
    <mergeCell ref="J4:K4"/>
  </mergeCells>
  <pageMargins left="0.44" right="0.19685039370078741" top="0.31496062992125984" bottom="0.23622047244094491" header="0.31496062992125984" footer="0.23622047244094491"/>
  <pageSetup paperSize="5" orientation="landscape" horizontalDpi="4294967293" r:id="rId1"/>
  <rowBreaks count="4" manualBreakCount="4">
    <brk id="24" max="10" man="1"/>
    <brk id="53" max="10" man="1"/>
    <brk id="76" max="10" man="1"/>
    <brk id="10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2"/>
  <sheetViews>
    <sheetView view="pageBreakPreview" zoomScaleSheetLayoutView="100" workbookViewId="0">
      <selection activeCell="A4" sqref="A4:K4"/>
    </sheetView>
  </sheetViews>
  <sheetFormatPr defaultRowHeight="13.8" x14ac:dyDescent="0.25"/>
  <cols>
    <col min="1" max="1" width="55.3984375" customWidth="1"/>
    <col min="2" max="2" width="14.09765625" customWidth="1"/>
    <col min="3" max="3" width="2.19921875" customWidth="1"/>
    <col min="4" max="4" width="11.59765625" customWidth="1"/>
    <col min="5" max="5" width="2.5" customWidth="1"/>
    <col min="6" max="6" width="11.19921875" customWidth="1"/>
    <col min="7" max="7" width="11.5" customWidth="1"/>
    <col min="8" max="8" width="12.59765625" customWidth="1"/>
    <col min="9" max="9" width="12.19921875" customWidth="1"/>
    <col min="10" max="10" width="11.8984375" customWidth="1"/>
    <col min="11" max="11" width="13.69921875" customWidth="1"/>
  </cols>
  <sheetData>
    <row r="1" spans="1:23" x14ac:dyDescent="0.25">
      <c r="K1">
        <v>7</v>
      </c>
    </row>
    <row r="2" spans="1:23" ht="18" x14ac:dyDescent="0.35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x14ac:dyDescent="0.35">
      <c r="A3" s="174" t="s">
        <v>76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" x14ac:dyDescent="0.35">
      <c r="A4" s="174" t="s">
        <v>241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" x14ac:dyDescent="0.35">
      <c r="A5" s="6"/>
      <c r="B5" s="8"/>
      <c r="C5" s="3"/>
      <c r="D5" s="10"/>
      <c r="E5" s="3"/>
      <c r="F5" s="10"/>
      <c r="G5" s="12" t="s">
        <v>2</v>
      </c>
      <c r="H5" s="13" t="s">
        <v>6</v>
      </c>
      <c r="I5" s="12" t="s">
        <v>7</v>
      </c>
      <c r="J5" s="175" t="s">
        <v>8</v>
      </c>
      <c r="K5" s="17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" x14ac:dyDescent="0.35">
      <c r="A6" s="7" t="s">
        <v>11</v>
      </c>
      <c r="B6" s="9" t="s">
        <v>2</v>
      </c>
      <c r="C6" s="4"/>
      <c r="D6" s="11" t="s">
        <v>3</v>
      </c>
      <c r="E6" s="4"/>
      <c r="F6" s="11" t="s">
        <v>4</v>
      </c>
      <c r="G6" s="9" t="s">
        <v>5</v>
      </c>
      <c r="H6" s="9" t="s">
        <v>2</v>
      </c>
      <c r="I6" s="14"/>
      <c r="J6" s="29" t="s">
        <v>15</v>
      </c>
      <c r="K6" s="29" t="s">
        <v>44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 x14ac:dyDescent="0.35">
      <c r="A7" s="95" t="s">
        <v>253</v>
      </c>
      <c r="B7" s="18"/>
      <c r="C7" s="47"/>
      <c r="D7" s="18"/>
      <c r="E7" s="47"/>
      <c r="F7" s="18"/>
      <c r="G7" s="18"/>
      <c r="H7" s="18"/>
      <c r="I7" s="18"/>
      <c r="J7" s="18"/>
      <c r="K7" s="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x14ac:dyDescent="0.35">
      <c r="A8" s="2" t="s">
        <v>77</v>
      </c>
      <c r="B8" s="18">
        <v>25000</v>
      </c>
      <c r="C8" s="47"/>
      <c r="D8" s="18"/>
      <c r="E8" s="47"/>
      <c r="F8" s="18"/>
      <c r="G8" s="18">
        <f>B8+D8-F8</f>
        <v>25000</v>
      </c>
      <c r="H8" s="18">
        <f>G8-I8</f>
        <v>11611</v>
      </c>
      <c r="I8" s="18">
        <f>SUM(J8:K8)</f>
        <v>13389</v>
      </c>
      <c r="J8" s="18">
        <v>13389</v>
      </c>
      <c r="K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" x14ac:dyDescent="0.35">
      <c r="A9" s="16" t="s">
        <v>287</v>
      </c>
      <c r="B9" s="18">
        <v>10000</v>
      </c>
      <c r="C9" s="47"/>
      <c r="D9" s="18"/>
      <c r="E9" s="47" t="s">
        <v>372</v>
      </c>
      <c r="F9" s="18">
        <v>10000</v>
      </c>
      <c r="G9" s="18">
        <f t="shared" ref="G9:G17" si="0">B9+D9-F9</f>
        <v>0</v>
      </c>
      <c r="H9" s="18">
        <f t="shared" ref="H9:H17" si="1">G9-I9</f>
        <v>0</v>
      </c>
      <c r="I9" s="18">
        <f t="shared" ref="I9:I16" si="2">SUM(J9:K9)</f>
        <v>0</v>
      </c>
      <c r="J9" s="18"/>
      <c r="K9" s="1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" x14ac:dyDescent="0.35">
      <c r="A10" s="16" t="s">
        <v>288</v>
      </c>
      <c r="B10" s="18">
        <v>10000</v>
      </c>
      <c r="C10" s="47"/>
      <c r="D10" s="18"/>
      <c r="E10" s="60"/>
      <c r="F10" s="18"/>
      <c r="G10" s="18">
        <f t="shared" si="0"/>
        <v>10000</v>
      </c>
      <c r="H10" s="18">
        <f t="shared" si="1"/>
        <v>10000</v>
      </c>
      <c r="I10" s="18">
        <f t="shared" si="2"/>
        <v>0</v>
      </c>
      <c r="J10" s="18"/>
      <c r="K10" s="1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" x14ac:dyDescent="0.35">
      <c r="A11" s="16" t="s">
        <v>289</v>
      </c>
      <c r="B11" s="18">
        <v>35300</v>
      </c>
      <c r="C11" s="47"/>
      <c r="D11" s="18"/>
      <c r="E11" s="47" t="s">
        <v>403</v>
      </c>
      <c r="F11" s="18">
        <v>6000</v>
      </c>
      <c r="G11" s="18">
        <f>B11+D11-F11</f>
        <v>29300</v>
      </c>
      <c r="H11" s="18">
        <f t="shared" si="1"/>
        <v>29300</v>
      </c>
      <c r="I11" s="18">
        <f t="shared" si="2"/>
        <v>0</v>
      </c>
      <c r="J11" s="18"/>
      <c r="K11" s="1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" x14ac:dyDescent="0.35">
      <c r="A12" s="16" t="s">
        <v>168</v>
      </c>
      <c r="B12" s="18">
        <v>10000</v>
      </c>
      <c r="C12" s="47" t="s">
        <v>372</v>
      </c>
      <c r="D12" s="18">
        <v>20000</v>
      </c>
      <c r="E12" s="47"/>
      <c r="F12" s="18"/>
      <c r="G12" s="18">
        <f t="shared" si="0"/>
        <v>30000</v>
      </c>
      <c r="H12" s="18">
        <f t="shared" si="1"/>
        <v>900</v>
      </c>
      <c r="I12" s="18">
        <f t="shared" si="2"/>
        <v>29100</v>
      </c>
      <c r="J12" s="18"/>
      <c r="K12" s="18">
        <v>29100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" x14ac:dyDescent="0.35">
      <c r="A13" s="16" t="s">
        <v>290</v>
      </c>
      <c r="B13" s="18">
        <v>150000</v>
      </c>
      <c r="C13" s="47"/>
      <c r="D13" s="18"/>
      <c r="E13" s="57" t="s">
        <v>379</v>
      </c>
      <c r="F13" s="18">
        <f>37500+45000+65000</f>
        <v>147500</v>
      </c>
      <c r="G13" s="18">
        <f t="shared" si="0"/>
        <v>2500</v>
      </c>
      <c r="H13" s="18">
        <f t="shared" si="1"/>
        <v>540</v>
      </c>
      <c r="I13" s="18">
        <f t="shared" si="2"/>
        <v>1960</v>
      </c>
      <c r="J13" s="18"/>
      <c r="K13" s="63">
        <v>1960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" x14ac:dyDescent="0.35">
      <c r="A14" s="16" t="s">
        <v>207</v>
      </c>
      <c r="B14" s="18">
        <v>15000</v>
      </c>
      <c r="C14" s="47"/>
      <c r="D14" s="18"/>
      <c r="E14" s="59" t="s">
        <v>403</v>
      </c>
      <c r="F14" s="18">
        <v>6000</v>
      </c>
      <c r="G14" s="18">
        <f t="shared" si="0"/>
        <v>9000</v>
      </c>
      <c r="H14" s="18">
        <f t="shared" si="1"/>
        <v>0</v>
      </c>
      <c r="I14" s="18">
        <f t="shared" si="2"/>
        <v>9000</v>
      </c>
      <c r="J14" s="18"/>
      <c r="K14" s="63">
        <v>9000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" x14ac:dyDescent="0.35">
      <c r="A15" s="16" t="s">
        <v>208</v>
      </c>
      <c r="B15" s="18">
        <v>10000</v>
      </c>
      <c r="C15" s="47"/>
      <c r="D15" s="18"/>
      <c r="E15" s="59"/>
      <c r="F15" s="18"/>
      <c r="G15" s="18">
        <f t="shared" si="0"/>
        <v>10000</v>
      </c>
      <c r="H15" s="18">
        <f t="shared" si="1"/>
        <v>10000</v>
      </c>
      <c r="I15" s="18">
        <f t="shared" si="2"/>
        <v>0</v>
      </c>
      <c r="J15" s="18"/>
      <c r="K15" s="6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" x14ac:dyDescent="0.35">
      <c r="A16" s="16" t="s">
        <v>291</v>
      </c>
      <c r="B16" s="18">
        <v>20000</v>
      </c>
      <c r="C16" s="47"/>
      <c r="D16" s="18"/>
      <c r="E16" s="59" t="s">
        <v>372</v>
      </c>
      <c r="F16" s="18">
        <v>10000</v>
      </c>
      <c r="G16" s="18">
        <f t="shared" si="0"/>
        <v>10000</v>
      </c>
      <c r="H16" s="18">
        <f t="shared" si="1"/>
        <v>400</v>
      </c>
      <c r="I16" s="18">
        <f t="shared" si="2"/>
        <v>9600</v>
      </c>
      <c r="J16" s="18"/>
      <c r="K16" s="63">
        <v>9600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x14ac:dyDescent="0.35">
      <c r="A17" s="16" t="s">
        <v>368</v>
      </c>
      <c r="B17" s="18"/>
      <c r="C17" s="47" t="s">
        <v>367</v>
      </c>
      <c r="D17" s="18">
        <v>30000</v>
      </c>
      <c r="E17" s="59"/>
      <c r="F17" s="18"/>
      <c r="G17" s="18">
        <f t="shared" si="0"/>
        <v>30000</v>
      </c>
      <c r="H17" s="18">
        <f t="shared" si="1"/>
        <v>10197</v>
      </c>
      <c r="I17" s="18">
        <f>SUM(J17:K17)</f>
        <v>19803</v>
      </c>
      <c r="J17" s="18"/>
      <c r="K17" s="63">
        <v>19803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x14ac:dyDescent="0.35">
      <c r="A18" s="127"/>
      <c r="B18" s="128">
        <f>SUM(B8:B16)</f>
        <v>285300</v>
      </c>
      <c r="C18" s="129"/>
      <c r="D18" s="128">
        <f>SUM(D8:D17)</f>
        <v>50000</v>
      </c>
      <c r="E18" s="129"/>
      <c r="F18" s="128">
        <f>SUM(F8:F17)</f>
        <v>179500</v>
      </c>
      <c r="G18" s="128">
        <f>SUM(G8:G17)</f>
        <v>155800</v>
      </c>
      <c r="H18" s="128">
        <f t="shared" ref="H18:K18" si="3">SUM(H8:H17)</f>
        <v>72948</v>
      </c>
      <c r="I18" s="128">
        <f>SUM(I8:I17)</f>
        <v>82852</v>
      </c>
      <c r="J18" s="128">
        <f>SUM(J8:J17)</f>
        <v>13389</v>
      </c>
      <c r="K18" s="128">
        <f t="shared" si="3"/>
        <v>69463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" x14ac:dyDescent="0.35">
      <c r="A19" s="28" t="s">
        <v>285</v>
      </c>
      <c r="B19" s="18"/>
      <c r="C19" s="47"/>
      <c r="D19" s="18"/>
      <c r="E19" s="47"/>
      <c r="F19" s="18"/>
      <c r="G19" s="18"/>
      <c r="H19" s="18"/>
      <c r="I19" s="18"/>
      <c r="J19" s="18"/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x14ac:dyDescent="0.35">
      <c r="A20" s="16" t="s">
        <v>67</v>
      </c>
      <c r="B20" s="18"/>
      <c r="C20" s="47"/>
      <c r="D20" s="18"/>
      <c r="E20" s="47"/>
      <c r="F20" s="18"/>
      <c r="G20" s="18"/>
      <c r="H20" s="18"/>
      <c r="I20" s="18"/>
      <c r="J20" s="18"/>
      <c r="K20" s="1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x14ac:dyDescent="0.35">
      <c r="A21" s="46" t="s">
        <v>71</v>
      </c>
      <c r="B21" s="18"/>
      <c r="C21" s="47"/>
      <c r="D21" s="18"/>
      <c r="E21" s="47"/>
      <c r="F21" s="18"/>
      <c r="G21" s="18"/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x14ac:dyDescent="0.35">
      <c r="A22" s="16" t="s">
        <v>292</v>
      </c>
      <c r="B22" s="18">
        <v>15000</v>
      </c>
      <c r="C22" s="47"/>
      <c r="D22" s="18"/>
      <c r="E22" s="47" t="s">
        <v>403</v>
      </c>
      <c r="F22" s="18">
        <v>15000</v>
      </c>
      <c r="G22" s="18">
        <f>B22+D22-F22</f>
        <v>0</v>
      </c>
      <c r="H22" s="18">
        <f t="shared" ref="H22:H24" si="4">G22-I22</f>
        <v>0</v>
      </c>
      <c r="I22" s="18">
        <f t="shared" ref="I22:I24" si="5">SUM(J22:K22)</f>
        <v>0</v>
      </c>
      <c r="J22" s="63"/>
      <c r="K22" s="6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x14ac:dyDescent="0.35">
      <c r="A23" s="16" t="s">
        <v>293</v>
      </c>
      <c r="B23" s="18">
        <v>20000</v>
      </c>
      <c r="C23" s="47"/>
      <c r="D23" s="18"/>
      <c r="E23" s="47" t="s">
        <v>403</v>
      </c>
      <c r="F23" s="18">
        <v>20000</v>
      </c>
      <c r="G23" s="18">
        <f>B23+D23-F23</f>
        <v>0</v>
      </c>
      <c r="H23" s="18">
        <f t="shared" si="4"/>
        <v>0</v>
      </c>
      <c r="I23" s="18">
        <f t="shared" si="5"/>
        <v>0</v>
      </c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 x14ac:dyDescent="0.35">
      <c r="A24" s="16" t="s">
        <v>294</v>
      </c>
      <c r="B24" s="18">
        <v>10000</v>
      </c>
      <c r="C24" s="47"/>
      <c r="D24" s="18"/>
      <c r="E24" s="47"/>
      <c r="F24" s="18"/>
      <c r="G24" s="18">
        <f>B24+D24-F24</f>
        <v>10000</v>
      </c>
      <c r="H24" s="18">
        <f t="shared" si="4"/>
        <v>0</v>
      </c>
      <c r="I24" s="18">
        <f t="shared" si="5"/>
        <v>10000</v>
      </c>
      <c r="J24" s="63"/>
      <c r="K24" s="63">
        <v>10000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x14ac:dyDescent="0.35">
      <c r="A25" s="127"/>
      <c r="B25" s="128">
        <f>SUM(B22:B24)</f>
        <v>45000</v>
      </c>
      <c r="C25" s="129"/>
      <c r="D25" s="128">
        <f>SUM(D22:D24)</f>
        <v>0</v>
      </c>
      <c r="E25" s="129"/>
      <c r="F25" s="128">
        <f>SUM(F22:F24)</f>
        <v>35000</v>
      </c>
      <c r="G25" s="128">
        <f>SUM(G22:G24)</f>
        <v>10000</v>
      </c>
      <c r="H25" s="128">
        <f t="shared" ref="H25:K25" si="6">SUM(H22:H24)</f>
        <v>0</v>
      </c>
      <c r="I25" s="128">
        <f t="shared" si="6"/>
        <v>10000</v>
      </c>
      <c r="J25" s="128">
        <f t="shared" si="6"/>
        <v>0</v>
      </c>
      <c r="K25" s="128">
        <f t="shared" si="6"/>
        <v>10000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" x14ac:dyDescent="0.35">
      <c r="A26" s="135" t="s">
        <v>102</v>
      </c>
      <c r="B26" s="133">
        <f>B18+B25</f>
        <v>330300</v>
      </c>
      <c r="C26" s="134"/>
      <c r="D26" s="133">
        <f>D18+D25</f>
        <v>50000</v>
      </c>
      <c r="E26" s="134"/>
      <c r="F26" s="133">
        <f>F18+F25</f>
        <v>214500</v>
      </c>
      <c r="G26" s="133">
        <f>G18+G25</f>
        <v>165800</v>
      </c>
      <c r="H26" s="133">
        <f>H18+H25</f>
        <v>72948</v>
      </c>
      <c r="I26" s="133">
        <f t="shared" ref="I26:K26" si="7">I18+I25</f>
        <v>92852</v>
      </c>
      <c r="J26" s="133">
        <f t="shared" si="7"/>
        <v>13389</v>
      </c>
      <c r="K26" s="133">
        <f t="shared" si="7"/>
        <v>79463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" x14ac:dyDescent="0.35">
      <c r="A27" s="16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" x14ac:dyDescent="0.35">
      <c r="A28" s="16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" x14ac:dyDescent="0.35">
      <c r="A29" s="16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" x14ac:dyDescent="0.35">
      <c r="A30" s="16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" x14ac:dyDescent="0.35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" x14ac:dyDescent="0.35">
      <c r="A32" s="16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8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8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8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8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8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</sheetData>
  <mergeCells count="4">
    <mergeCell ref="A2:K2"/>
    <mergeCell ref="A3:K3"/>
    <mergeCell ref="A4:K4"/>
    <mergeCell ref="J5:K5"/>
  </mergeCells>
  <pageMargins left="0.81" right="0.19685039370078741" top="0.31496062992125984" bottom="0.23622047244094491" header="0.31496062992125984" footer="0.23622047244094491"/>
  <pageSetup paperSize="5" scale="95" orientation="landscape" horizontalDpi="4294967293" r:id="rId1"/>
  <rowBreaks count="1" manualBreakCount="1">
    <brk id="2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1"/>
  <sheetViews>
    <sheetView view="pageBreakPreview" topLeftCell="A73" zoomScaleSheetLayoutView="100" workbookViewId="0">
      <selection activeCell="F8" sqref="F8"/>
    </sheetView>
  </sheetViews>
  <sheetFormatPr defaultRowHeight="13.8" x14ac:dyDescent="0.25"/>
  <cols>
    <col min="1" max="1" width="49.3984375" customWidth="1"/>
    <col min="2" max="2" width="12.69921875" customWidth="1"/>
    <col min="3" max="3" width="2.19921875" customWidth="1"/>
    <col min="4" max="4" width="10.8984375" customWidth="1"/>
    <col min="5" max="5" width="2.3984375" customWidth="1"/>
    <col min="6" max="6" width="11.3984375" customWidth="1"/>
    <col min="7" max="7" width="11.5" customWidth="1"/>
    <col min="8" max="8" width="12.19921875" customWidth="1"/>
    <col min="9" max="9" width="11.69921875" customWidth="1"/>
    <col min="10" max="10" width="11.19921875" customWidth="1"/>
    <col min="11" max="11" width="11.09765625" customWidth="1"/>
    <col min="12" max="12" width="9.59765625" bestFit="1" customWidth="1"/>
    <col min="13" max="13" width="9.69921875" customWidth="1"/>
    <col min="14" max="14" width="3" customWidth="1"/>
  </cols>
  <sheetData>
    <row r="1" spans="1:23" ht="21" x14ac:dyDescent="0.4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"/>
      <c r="M1" s="1"/>
      <c r="N1" s="113">
        <v>8</v>
      </c>
      <c r="O1" s="1"/>
      <c r="P1" s="1"/>
      <c r="Q1" s="1"/>
      <c r="R1" s="1"/>
      <c r="S1" s="1"/>
      <c r="T1" s="1"/>
      <c r="U1" s="1"/>
      <c r="V1" s="1"/>
      <c r="W1" s="1"/>
    </row>
    <row r="2" spans="1:23" ht="18" x14ac:dyDescent="0.35">
      <c r="A2" s="174" t="s">
        <v>106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x14ac:dyDescent="0.35">
      <c r="A3" s="174" t="s">
        <v>241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" x14ac:dyDescent="0.35">
      <c r="A4" s="6"/>
      <c r="B4" s="8"/>
      <c r="C4" s="3"/>
      <c r="D4" s="10"/>
      <c r="E4" s="3"/>
      <c r="F4" s="10"/>
      <c r="G4" s="12" t="s">
        <v>2</v>
      </c>
      <c r="H4" s="13" t="s">
        <v>6</v>
      </c>
      <c r="I4" s="12" t="s">
        <v>7</v>
      </c>
      <c r="J4" s="179" t="s">
        <v>8</v>
      </c>
      <c r="K4" s="180"/>
      <c r="L4" s="180"/>
      <c r="M4" s="18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" x14ac:dyDescent="0.35">
      <c r="A5" s="7" t="s">
        <v>11</v>
      </c>
      <c r="B5" s="9" t="s">
        <v>2</v>
      </c>
      <c r="C5" s="4"/>
      <c r="D5" s="11" t="s">
        <v>3</v>
      </c>
      <c r="E5" s="4"/>
      <c r="F5" s="11" t="s">
        <v>4</v>
      </c>
      <c r="G5" s="9" t="s">
        <v>5</v>
      </c>
      <c r="H5" s="9" t="s">
        <v>2</v>
      </c>
      <c r="I5" s="14"/>
      <c r="J5" s="9" t="s">
        <v>15</v>
      </c>
      <c r="K5" s="9" t="s">
        <v>16</v>
      </c>
      <c r="L5" s="34" t="s">
        <v>22</v>
      </c>
      <c r="M5" s="34" t="s">
        <v>223</v>
      </c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" x14ac:dyDescent="0.35">
      <c r="A6" s="95" t="s">
        <v>306</v>
      </c>
      <c r="B6" s="18"/>
      <c r="C6" s="47"/>
      <c r="D6" s="18"/>
      <c r="E6" s="47"/>
      <c r="F6" s="18"/>
      <c r="G6" s="18"/>
      <c r="H6" s="18"/>
      <c r="I6" s="18"/>
      <c r="J6" s="18"/>
      <c r="K6" s="18"/>
      <c r="L6" s="5"/>
      <c r="M6" s="18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 x14ac:dyDescent="0.35">
      <c r="A7" s="16" t="s">
        <v>12</v>
      </c>
      <c r="B7" s="18">
        <v>902520</v>
      </c>
      <c r="C7" s="47"/>
      <c r="D7" s="18"/>
      <c r="E7" s="97" t="s">
        <v>393</v>
      </c>
      <c r="F7" s="18">
        <f>51000+50000+268379</f>
        <v>369379</v>
      </c>
      <c r="G7" s="18">
        <f>B7+D7-F7</f>
        <v>533141</v>
      </c>
      <c r="H7" s="18">
        <f>G7-I7</f>
        <v>0.19999999995343387</v>
      </c>
      <c r="I7" s="18">
        <f>SUM(J7:M7)</f>
        <v>533140.80000000005</v>
      </c>
      <c r="J7" s="18">
        <v>533140.80000000005</v>
      </c>
      <c r="K7" s="18"/>
      <c r="L7" s="5"/>
      <c r="M7" s="18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x14ac:dyDescent="0.35">
      <c r="A8" s="16" t="s">
        <v>193</v>
      </c>
      <c r="B8" s="18">
        <v>123600</v>
      </c>
      <c r="C8" s="47"/>
      <c r="D8" s="18"/>
      <c r="E8" s="47" t="s">
        <v>352</v>
      </c>
      <c r="F8" s="18">
        <v>68000</v>
      </c>
      <c r="G8" s="18">
        <f t="shared" ref="G8:G10" si="0">B8+D8-F8</f>
        <v>55600</v>
      </c>
      <c r="H8" s="18">
        <f t="shared" ref="H8:H10" si="1">G8-I8</f>
        <v>1841.9400000000023</v>
      </c>
      <c r="I8" s="18">
        <f t="shared" ref="I8:I10" si="2">SUM(J8:M8)</f>
        <v>53758.06</v>
      </c>
      <c r="J8" s="18">
        <v>53758.06</v>
      </c>
      <c r="K8" s="18"/>
      <c r="L8" s="5"/>
      <c r="M8" s="18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" x14ac:dyDescent="0.35">
      <c r="A9" s="16" t="s">
        <v>194</v>
      </c>
      <c r="B9" s="18">
        <v>762480</v>
      </c>
      <c r="C9" s="59" t="s">
        <v>398</v>
      </c>
      <c r="D9" s="18">
        <v>3771</v>
      </c>
      <c r="E9" s="47"/>
      <c r="F9" s="18"/>
      <c r="G9" s="18">
        <f t="shared" si="0"/>
        <v>766251</v>
      </c>
      <c r="H9" s="18">
        <f t="shared" si="1"/>
        <v>0</v>
      </c>
      <c r="I9" s="18">
        <f t="shared" si="2"/>
        <v>766251</v>
      </c>
      <c r="J9" s="18">
        <v>766251</v>
      </c>
      <c r="K9" s="18"/>
      <c r="L9" s="5"/>
      <c r="M9" s="18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" x14ac:dyDescent="0.35">
      <c r="A10" s="16" t="s">
        <v>195</v>
      </c>
      <c r="B10" s="18">
        <v>332040</v>
      </c>
      <c r="C10" s="59" t="s">
        <v>398</v>
      </c>
      <c r="D10" s="18">
        <v>1500</v>
      </c>
      <c r="E10" s="47" t="s">
        <v>394</v>
      </c>
      <c r="F10" s="18">
        <f>20000+32612</f>
        <v>52612</v>
      </c>
      <c r="G10" s="18">
        <f t="shared" si="0"/>
        <v>280928</v>
      </c>
      <c r="H10" s="18">
        <f t="shared" si="1"/>
        <v>0</v>
      </c>
      <c r="I10" s="18">
        <f t="shared" si="2"/>
        <v>280928</v>
      </c>
      <c r="J10" s="18">
        <v>280928</v>
      </c>
      <c r="K10" s="18"/>
      <c r="L10" s="5"/>
      <c r="M10" s="18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" x14ac:dyDescent="0.35">
      <c r="A11" s="140"/>
      <c r="B11" s="125">
        <f>SUM(B7:B10)</f>
        <v>2120640</v>
      </c>
      <c r="C11" s="141"/>
      <c r="D11" s="125">
        <f>SUM(D7:D10)</f>
        <v>5271</v>
      </c>
      <c r="E11" s="141"/>
      <c r="F11" s="125">
        <f>SUM(F7:F10)</f>
        <v>489991</v>
      </c>
      <c r="G11" s="125">
        <f>SUM(G7:G10)</f>
        <v>1635920</v>
      </c>
      <c r="H11" s="125">
        <f t="shared" ref="H11:M11" si="3">SUM(H7:H10)</f>
        <v>1842.1399999999558</v>
      </c>
      <c r="I11" s="125">
        <f>SUM(I7:I10)</f>
        <v>1634077.86</v>
      </c>
      <c r="J11" s="125">
        <f t="shared" si="3"/>
        <v>1634077.86</v>
      </c>
      <c r="K11" s="125">
        <f t="shared" si="3"/>
        <v>0</v>
      </c>
      <c r="L11" s="125">
        <f t="shared" si="3"/>
        <v>0</v>
      </c>
      <c r="M11" s="125">
        <f t="shared" si="3"/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" x14ac:dyDescent="0.35">
      <c r="A12" s="28" t="s">
        <v>252</v>
      </c>
      <c r="B12" s="18"/>
      <c r="C12" s="47"/>
      <c r="D12" s="18"/>
      <c r="E12" s="47"/>
      <c r="F12" s="18"/>
      <c r="G12" s="18"/>
      <c r="H12" s="18"/>
      <c r="I12" s="18"/>
      <c r="J12" s="18"/>
      <c r="K12" s="18"/>
      <c r="L12" s="5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" x14ac:dyDescent="0.35">
      <c r="A13" s="20" t="s">
        <v>13</v>
      </c>
      <c r="B13" s="18">
        <v>10000</v>
      </c>
      <c r="C13" s="47"/>
      <c r="D13" s="18"/>
      <c r="E13" s="47" t="s">
        <v>381</v>
      </c>
      <c r="F13" s="18">
        <v>8407</v>
      </c>
      <c r="G13" s="18">
        <f t="shared" ref="G13:G16" si="4">B13+D13-F13</f>
        <v>1593</v>
      </c>
      <c r="H13" s="18">
        <f t="shared" ref="H13:H16" si="5">G13-I13</f>
        <v>0</v>
      </c>
      <c r="I13" s="18">
        <f t="shared" ref="I13:I16" si="6">SUM(J13:M13)</f>
        <v>1593</v>
      </c>
      <c r="J13" s="18">
        <v>1593</v>
      </c>
      <c r="K13" s="18"/>
      <c r="L13" s="5"/>
      <c r="M13" s="18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" x14ac:dyDescent="0.35">
      <c r="A14" s="16" t="s">
        <v>14</v>
      </c>
      <c r="B14" s="18">
        <v>10000</v>
      </c>
      <c r="C14" s="47"/>
      <c r="D14" s="18"/>
      <c r="E14" s="47" t="s">
        <v>381</v>
      </c>
      <c r="F14" s="18">
        <v>2193</v>
      </c>
      <c r="G14" s="18">
        <f t="shared" si="4"/>
        <v>7807</v>
      </c>
      <c r="H14" s="18">
        <f t="shared" si="5"/>
        <v>917</v>
      </c>
      <c r="I14" s="18">
        <f t="shared" si="6"/>
        <v>6890</v>
      </c>
      <c r="J14" s="18">
        <v>6890</v>
      </c>
      <c r="K14" s="18"/>
      <c r="L14" s="5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" x14ac:dyDescent="0.35">
      <c r="A15" s="16" t="s">
        <v>17</v>
      </c>
      <c r="B15" s="18">
        <v>65000</v>
      </c>
      <c r="C15" s="47"/>
      <c r="D15" s="18"/>
      <c r="E15" s="47" t="s">
        <v>381</v>
      </c>
      <c r="F15" s="18">
        <v>7400</v>
      </c>
      <c r="G15" s="18">
        <f t="shared" si="4"/>
        <v>57600</v>
      </c>
      <c r="H15" s="18">
        <f t="shared" si="5"/>
        <v>0</v>
      </c>
      <c r="I15" s="18">
        <f t="shared" si="6"/>
        <v>57600</v>
      </c>
      <c r="J15" s="18">
        <v>57600</v>
      </c>
      <c r="K15" s="18"/>
      <c r="L15" s="5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" x14ac:dyDescent="0.35">
      <c r="A16" s="16" t="s">
        <v>196</v>
      </c>
      <c r="B16" s="18">
        <v>10000</v>
      </c>
      <c r="C16" s="47"/>
      <c r="D16" s="18"/>
      <c r="E16" s="47" t="s">
        <v>381</v>
      </c>
      <c r="F16" s="18">
        <v>10000</v>
      </c>
      <c r="G16" s="18">
        <f t="shared" si="4"/>
        <v>0</v>
      </c>
      <c r="H16" s="18">
        <f t="shared" si="5"/>
        <v>0</v>
      </c>
      <c r="I16" s="18">
        <f t="shared" si="6"/>
        <v>0</v>
      </c>
      <c r="J16" s="18" t="s">
        <v>222</v>
      </c>
      <c r="K16" s="18"/>
      <c r="L16" s="5"/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x14ac:dyDescent="0.35">
      <c r="A17" s="127"/>
      <c r="B17" s="128">
        <f>SUM(B13:B16)</f>
        <v>95000</v>
      </c>
      <c r="C17" s="129"/>
      <c r="D17" s="128">
        <f>SUM(D13:D16)</f>
        <v>0</v>
      </c>
      <c r="E17" s="129"/>
      <c r="F17" s="128">
        <f>SUM(F13:F16)</f>
        <v>28000</v>
      </c>
      <c r="G17" s="128">
        <f>SUM(G13:G16)</f>
        <v>67000</v>
      </c>
      <c r="H17" s="128">
        <f t="shared" ref="H17:M17" si="7">SUM(H13:H16)</f>
        <v>917</v>
      </c>
      <c r="I17" s="128">
        <f>SUM(I13:I16)</f>
        <v>66083</v>
      </c>
      <c r="J17" s="128">
        <f t="shared" si="7"/>
        <v>66083</v>
      </c>
      <c r="K17" s="128">
        <f t="shared" si="7"/>
        <v>0</v>
      </c>
      <c r="L17" s="128">
        <f t="shared" si="7"/>
        <v>0</v>
      </c>
      <c r="M17" s="128">
        <f t="shared" si="7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x14ac:dyDescent="0.35">
      <c r="A18" s="28" t="s">
        <v>115</v>
      </c>
      <c r="B18" s="18"/>
      <c r="C18" s="47"/>
      <c r="D18" s="18"/>
      <c r="E18" s="47"/>
      <c r="F18" s="18"/>
      <c r="G18" s="18"/>
      <c r="H18" s="18"/>
      <c r="I18" s="18"/>
      <c r="J18" s="18"/>
      <c r="K18" s="18"/>
      <c r="L18" s="5"/>
      <c r="M18" s="18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" x14ac:dyDescent="0.35">
      <c r="A19" s="22" t="s">
        <v>216</v>
      </c>
      <c r="B19" s="18">
        <v>10000</v>
      </c>
      <c r="C19" s="47"/>
      <c r="D19" s="18"/>
      <c r="E19" s="47"/>
      <c r="F19" s="18"/>
      <c r="G19" s="18">
        <f t="shared" ref="G19:G26" si="8">B19+D19-F19</f>
        <v>10000</v>
      </c>
      <c r="H19" s="18">
        <f t="shared" ref="H19:H27" si="9">G19-I19</f>
        <v>2748.5</v>
      </c>
      <c r="I19" s="18">
        <f t="shared" ref="I19:I27" si="10">SUM(J19:M19)</f>
        <v>7251.5</v>
      </c>
      <c r="J19" s="18">
        <v>7251.5</v>
      </c>
      <c r="K19" s="18"/>
      <c r="L19" s="5"/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x14ac:dyDescent="0.35">
      <c r="A20" s="16" t="s">
        <v>18</v>
      </c>
      <c r="B20" s="18">
        <v>50000</v>
      </c>
      <c r="C20" s="47"/>
      <c r="D20" s="18"/>
      <c r="E20" s="57" t="s">
        <v>372</v>
      </c>
      <c r="F20" s="18">
        <v>50000</v>
      </c>
      <c r="G20" s="18">
        <f t="shared" si="8"/>
        <v>0</v>
      </c>
      <c r="H20" s="18">
        <f t="shared" si="9"/>
        <v>0</v>
      </c>
      <c r="I20" s="18">
        <f t="shared" si="10"/>
        <v>0</v>
      </c>
      <c r="J20" s="63" t="s">
        <v>222</v>
      </c>
      <c r="K20" s="18"/>
      <c r="L20" s="5"/>
      <c r="M20" s="18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x14ac:dyDescent="0.35">
      <c r="A21" s="16" t="s">
        <v>198</v>
      </c>
      <c r="B21" s="18">
        <v>50000</v>
      </c>
      <c r="C21" s="47"/>
      <c r="D21" s="18"/>
      <c r="E21" s="47" t="s">
        <v>422</v>
      </c>
      <c r="F21" s="18">
        <f>17390+30000</f>
        <v>47390</v>
      </c>
      <c r="G21" s="18">
        <f t="shared" si="8"/>
        <v>2610</v>
      </c>
      <c r="H21" s="18">
        <f>G21-I21</f>
        <v>310</v>
      </c>
      <c r="I21" s="18">
        <f>SUM(J21:M21)</f>
        <v>2300</v>
      </c>
      <c r="J21" s="63">
        <v>2300</v>
      </c>
      <c r="K21" s="18"/>
      <c r="L21" s="5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x14ac:dyDescent="0.35">
      <c r="A22" s="16" t="s">
        <v>199</v>
      </c>
      <c r="B22" s="18">
        <v>70000</v>
      </c>
      <c r="C22" s="47"/>
      <c r="D22" s="18"/>
      <c r="E22" s="47" t="s">
        <v>398</v>
      </c>
      <c r="F22" s="18">
        <v>6800</v>
      </c>
      <c r="G22" s="18">
        <f t="shared" si="8"/>
        <v>63200</v>
      </c>
      <c r="H22" s="18">
        <f t="shared" si="9"/>
        <v>20858</v>
      </c>
      <c r="I22" s="18">
        <f t="shared" si="10"/>
        <v>42342</v>
      </c>
      <c r="J22" s="18">
        <v>42342</v>
      </c>
      <c r="K22" s="18"/>
      <c r="L22" s="5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x14ac:dyDescent="0.35">
      <c r="A23" s="16" t="s">
        <v>310</v>
      </c>
      <c r="B23" s="18">
        <v>200000</v>
      </c>
      <c r="C23" s="47"/>
      <c r="D23" s="18"/>
      <c r="E23" s="47" t="s">
        <v>372</v>
      </c>
      <c r="F23" s="18">
        <v>100000</v>
      </c>
      <c r="G23" s="18">
        <f t="shared" si="8"/>
        <v>100000</v>
      </c>
      <c r="H23" s="18">
        <f t="shared" si="9"/>
        <v>0</v>
      </c>
      <c r="I23" s="18">
        <f t="shared" si="10"/>
        <v>100000</v>
      </c>
      <c r="J23" s="18"/>
      <c r="K23" s="18">
        <v>100000</v>
      </c>
      <c r="L23" s="5"/>
      <c r="M23" s="18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 x14ac:dyDescent="0.35">
      <c r="A24" s="16" t="s">
        <v>420</v>
      </c>
      <c r="B24" s="18">
        <v>30000</v>
      </c>
      <c r="C24" s="47" t="s">
        <v>367</v>
      </c>
      <c r="D24" s="18">
        <v>50000</v>
      </c>
      <c r="E24" s="47" t="s">
        <v>398</v>
      </c>
      <c r="F24" s="18">
        <v>65000</v>
      </c>
      <c r="G24" s="18">
        <f t="shared" si="8"/>
        <v>15000</v>
      </c>
      <c r="H24" s="18">
        <f t="shared" si="9"/>
        <v>6000</v>
      </c>
      <c r="I24" s="18">
        <f t="shared" si="10"/>
        <v>9000</v>
      </c>
      <c r="J24" s="18"/>
      <c r="K24" s="18"/>
      <c r="L24" s="5"/>
      <c r="M24" s="18">
        <v>9000</v>
      </c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x14ac:dyDescent="0.35">
      <c r="A25" s="16" t="s">
        <v>330</v>
      </c>
      <c r="B25" s="18">
        <v>30000</v>
      </c>
      <c r="C25" s="47" t="s">
        <v>369</v>
      </c>
      <c r="D25" s="18">
        <f>60000+87390</f>
        <v>147390</v>
      </c>
      <c r="E25" s="47" t="s">
        <v>398</v>
      </c>
      <c r="F25" s="18">
        <v>96000</v>
      </c>
      <c r="G25" s="18">
        <f t="shared" si="8"/>
        <v>81390</v>
      </c>
      <c r="H25" s="18">
        <f t="shared" si="9"/>
        <v>0</v>
      </c>
      <c r="I25" s="18">
        <f t="shared" si="10"/>
        <v>81390</v>
      </c>
      <c r="J25" s="18"/>
      <c r="K25" s="18"/>
      <c r="L25" s="5"/>
      <c r="M25" s="18">
        <f>96390-15000</f>
        <v>81390</v>
      </c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" x14ac:dyDescent="0.35">
      <c r="A26" s="16" t="s">
        <v>421</v>
      </c>
      <c r="B26" s="18">
        <v>23000</v>
      </c>
      <c r="C26" s="47"/>
      <c r="D26" s="18"/>
      <c r="E26" s="47"/>
      <c r="F26" s="18"/>
      <c r="G26" s="18">
        <f t="shared" si="8"/>
        <v>23000</v>
      </c>
      <c r="H26" s="18">
        <f t="shared" si="9"/>
        <v>8000</v>
      </c>
      <c r="I26" s="18">
        <f t="shared" si="10"/>
        <v>15000</v>
      </c>
      <c r="J26" s="18"/>
      <c r="K26" s="18"/>
      <c r="L26" s="5"/>
      <c r="M26" s="18">
        <v>15000</v>
      </c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" x14ac:dyDescent="0.35">
      <c r="A27" s="16" t="s">
        <v>400</v>
      </c>
      <c r="B27" s="18"/>
      <c r="C27" s="47" t="s">
        <v>398</v>
      </c>
      <c r="D27" s="18">
        <v>6800</v>
      </c>
      <c r="E27" s="47"/>
      <c r="F27" s="18"/>
      <c r="G27" s="18">
        <f>B27+D27-F27</f>
        <v>6800</v>
      </c>
      <c r="H27" s="18">
        <f t="shared" si="9"/>
        <v>0</v>
      </c>
      <c r="I27" s="18">
        <f t="shared" si="10"/>
        <v>6800</v>
      </c>
      <c r="J27" s="18">
        <v>6800</v>
      </c>
      <c r="K27" s="18"/>
      <c r="L27" s="99"/>
      <c r="M27" s="18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" x14ac:dyDescent="0.35">
      <c r="A28" s="127"/>
      <c r="B28" s="128">
        <f>SUM(B19:B27)</f>
        <v>463000</v>
      </c>
      <c r="C28" s="129"/>
      <c r="D28" s="128">
        <f>SUM(D19:D27)</f>
        <v>204190</v>
      </c>
      <c r="E28" s="129"/>
      <c r="F28" s="128">
        <f>SUM(F19:F27)</f>
        <v>365190</v>
      </c>
      <c r="G28" s="128">
        <f>SUM(G19:G27)</f>
        <v>302000</v>
      </c>
      <c r="H28" s="128">
        <f t="shared" ref="H28:M28" si="11">SUM(H19:H27)</f>
        <v>37916.5</v>
      </c>
      <c r="I28" s="128">
        <f>SUM(I19:I27)</f>
        <v>264083.5</v>
      </c>
      <c r="J28" s="128">
        <f>SUM(J19:J27)</f>
        <v>58693.5</v>
      </c>
      <c r="K28" s="128">
        <f t="shared" si="11"/>
        <v>100000</v>
      </c>
      <c r="L28" s="128">
        <f t="shared" si="11"/>
        <v>0</v>
      </c>
      <c r="M28" s="128">
        <f t="shared" si="11"/>
        <v>105390</v>
      </c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" x14ac:dyDescent="0.35">
      <c r="A29" s="28" t="s">
        <v>116</v>
      </c>
      <c r="B29" s="18"/>
      <c r="C29" s="47"/>
      <c r="D29" s="18"/>
      <c r="E29" s="47"/>
      <c r="F29" s="18"/>
      <c r="G29" s="18"/>
      <c r="H29" s="18"/>
      <c r="I29" s="63"/>
      <c r="J29" s="18"/>
      <c r="K29" s="18"/>
      <c r="L29" s="5"/>
      <c r="M29" s="18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" x14ac:dyDescent="0.35">
      <c r="A30" s="16" t="s">
        <v>200</v>
      </c>
      <c r="B30" s="18">
        <v>100000</v>
      </c>
      <c r="C30" s="47"/>
      <c r="D30" s="18"/>
      <c r="E30" s="47"/>
      <c r="F30" s="18"/>
      <c r="G30" s="18">
        <f t="shared" ref="G30:G31" si="12">B30+D30-F30</f>
        <v>100000</v>
      </c>
      <c r="H30" s="18">
        <f>G30-I30</f>
        <v>13325</v>
      </c>
      <c r="I30" s="18">
        <f>SUM(J30:M30)</f>
        <v>86675</v>
      </c>
      <c r="J30" s="18"/>
      <c r="K30" s="18">
        <v>86675</v>
      </c>
      <c r="L30" s="5"/>
      <c r="M30" s="18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" x14ac:dyDescent="0.35">
      <c r="A31" s="16" t="s">
        <v>311</v>
      </c>
      <c r="B31" s="18">
        <v>5000</v>
      </c>
      <c r="C31" s="47"/>
      <c r="D31" s="18"/>
      <c r="E31" s="47"/>
      <c r="F31" s="18"/>
      <c r="G31" s="18">
        <f t="shared" si="12"/>
        <v>5000</v>
      </c>
      <c r="H31" s="18">
        <f t="shared" ref="H31" si="13">G31-I31</f>
        <v>1000</v>
      </c>
      <c r="I31" s="18">
        <f t="shared" ref="I31" si="14">SUM(J31:M31)</f>
        <v>4000</v>
      </c>
      <c r="J31" s="18"/>
      <c r="K31" s="18">
        <v>4000</v>
      </c>
      <c r="L31" s="5"/>
      <c r="M31" s="18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" x14ac:dyDescent="0.35">
      <c r="A32" s="127"/>
      <c r="B32" s="128">
        <f>SUM(B30:B31)</f>
        <v>105000</v>
      </c>
      <c r="C32" s="129"/>
      <c r="D32" s="128">
        <f>SUM(D30:D31)</f>
        <v>0</v>
      </c>
      <c r="E32" s="129"/>
      <c r="F32" s="128">
        <f>SUM(F30:F31)</f>
        <v>0</v>
      </c>
      <c r="G32" s="128">
        <f>SUM(G30:G31)</f>
        <v>105000</v>
      </c>
      <c r="H32" s="128">
        <f>SUM(H30:H31)</f>
        <v>14325</v>
      </c>
      <c r="I32" s="128">
        <f t="shared" ref="I32:M32" si="15">SUM(I30:I31)</f>
        <v>90675</v>
      </c>
      <c r="J32" s="128">
        <f t="shared" si="15"/>
        <v>0</v>
      </c>
      <c r="K32" s="128">
        <f t="shared" si="15"/>
        <v>90675</v>
      </c>
      <c r="L32" s="128">
        <f t="shared" si="15"/>
        <v>0</v>
      </c>
      <c r="M32" s="128">
        <f t="shared" si="15"/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1" x14ac:dyDescent="0.4">
      <c r="A33" s="6"/>
      <c r="B33" s="8"/>
      <c r="C33" s="48"/>
      <c r="D33" s="10"/>
      <c r="E33" s="48"/>
      <c r="F33" s="10"/>
      <c r="G33" s="12" t="s">
        <v>2</v>
      </c>
      <c r="H33" s="13" t="s">
        <v>6</v>
      </c>
      <c r="I33" s="12" t="s">
        <v>7</v>
      </c>
      <c r="J33" s="179" t="s">
        <v>8</v>
      </c>
      <c r="K33" s="180"/>
      <c r="L33" s="180"/>
      <c r="M33" s="181"/>
      <c r="N33" s="113">
        <v>9</v>
      </c>
      <c r="O33" s="1"/>
      <c r="P33" s="1"/>
      <c r="Q33" s="1"/>
      <c r="R33" s="1"/>
      <c r="S33" s="1"/>
      <c r="T33" s="1"/>
      <c r="U33" s="1"/>
      <c r="V33" s="1"/>
      <c r="W33" s="1"/>
    </row>
    <row r="34" spans="1:23" ht="18" x14ac:dyDescent="0.35">
      <c r="A34" s="7" t="s">
        <v>11</v>
      </c>
      <c r="B34" s="9" t="s">
        <v>2</v>
      </c>
      <c r="C34" s="49"/>
      <c r="D34" s="11" t="s">
        <v>3</v>
      </c>
      <c r="E34" s="49"/>
      <c r="F34" s="11" t="s">
        <v>4</v>
      </c>
      <c r="G34" s="9" t="s">
        <v>5</v>
      </c>
      <c r="H34" s="9" t="s">
        <v>2</v>
      </c>
      <c r="I34" s="14"/>
      <c r="J34" s="15" t="s">
        <v>15</v>
      </c>
      <c r="K34" s="15" t="s">
        <v>16</v>
      </c>
      <c r="L34" s="34" t="s">
        <v>22</v>
      </c>
      <c r="M34" s="34" t="s">
        <v>223</v>
      </c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" x14ac:dyDescent="0.35">
      <c r="A35" s="28" t="s">
        <v>266</v>
      </c>
      <c r="B35" s="18"/>
      <c r="C35" s="47"/>
      <c r="D35" s="18"/>
      <c r="E35" s="47"/>
      <c r="F35" s="18"/>
      <c r="G35" s="18"/>
      <c r="H35" s="18"/>
      <c r="I35" s="63"/>
      <c r="J35" s="18"/>
      <c r="K35" s="18"/>
      <c r="L35" s="5"/>
      <c r="M35" s="18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" x14ac:dyDescent="0.35">
      <c r="A36" s="38" t="s">
        <v>312</v>
      </c>
      <c r="B36" s="18"/>
      <c r="C36" s="47"/>
      <c r="D36" s="18"/>
      <c r="E36" s="47"/>
      <c r="F36" s="18"/>
      <c r="G36" s="18"/>
      <c r="H36" s="18"/>
      <c r="I36" s="63"/>
      <c r="J36" s="18"/>
      <c r="K36" s="18"/>
      <c r="L36" s="5"/>
      <c r="M36" s="18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" x14ac:dyDescent="0.35">
      <c r="A37" s="20" t="s">
        <v>357</v>
      </c>
      <c r="B37" s="21">
        <v>24000</v>
      </c>
      <c r="C37" s="50" t="s">
        <v>352</v>
      </c>
      <c r="D37" s="21">
        <v>12550</v>
      </c>
      <c r="E37" s="50"/>
      <c r="F37" s="21"/>
      <c r="G37" s="18">
        <f>B37+D37-F37</f>
        <v>36550</v>
      </c>
      <c r="H37" s="18">
        <f>G37-I37</f>
        <v>16.239999999997963</v>
      </c>
      <c r="I37" s="18">
        <f t="shared" ref="I37:I49" si="16">SUM(J37:M37)</f>
        <v>36533.760000000002</v>
      </c>
      <c r="J37" s="21"/>
      <c r="K37" s="21">
        <v>36533.760000000002</v>
      </c>
      <c r="L37" s="21"/>
      <c r="M37" s="18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" x14ac:dyDescent="0.35">
      <c r="A38" s="20"/>
      <c r="B38" s="18"/>
      <c r="C38" s="47"/>
      <c r="D38" s="18"/>
      <c r="E38" s="47"/>
      <c r="F38" s="18"/>
      <c r="G38" s="18"/>
      <c r="H38" s="18"/>
      <c r="I38" s="18"/>
      <c r="J38" s="18"/>
      <c r="K38" s="18"/>
      <c r="L38" s="5"/>
      <c r="M38" s="18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" x14ac:dyDescent="0.35">
      <c r="A39" s="20" t="s">
        <v>358</v>
      </c>
      <c r="B39" s="21">
        <v>70000</v>
      </c>
      <c r="C39" s="50" t="s">
        <v>352</v>
      </c>
      <c r="D39" s="21">
        <v>26455</v>
      </c>
      <c r="E39" s="50"/>
      <c r="F39" s="21"/>
      <c r="G39" s="18">
        <f>B39+D39-F39</f>
        <v>96455</v>
      </c>
      <c r="H39" s="18">
        <f>G39-I39</f>
        <v>0.92999999999301508</v>
      </c>
      <c r="I39" s="18">
        <f t="shared" si="16"/>
        <v>96454.07</v>
      </c>
      <c r="J39" s="21"/>
      <c r="K39" s="21">
        <v>96454.07</v>
      </c>
      <c r="L39" s="5"/>
      <c r="M39" s="18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" x14ac:dyDescent="0.35">
      <c r="A40" s="25"/>
      <c r="B40" s="21"/>
      <c r="C40" s="50"/>
      <c r="D40" s="21"/>
      <c r="E40" s="50"/>
      <c r="F40" s="21"/>
      <c r="G40" s="18"/>
      <c r="H40" s="21"/>
      <c r="I40" s="18"/>
      <c r="J40" s="21"/>
      <c r="K40" s="21"/>
      <c r="L40" s="5"/>
      <c r="M40" s="18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" x14ac:dyDescent="0.35">
      <c r="A41" s="20" t="s">
        <v>359</v>
      </c>
      <c r="B41" s="21">
        <v>45000</v>
      </c>
      <c r="C41" s="50" t="s">
        <v>352</v>
      </c>
      <c r="D41" s="21">
        <v>17650</v>
      </c>
      <c r="E41" s="50"/>
      <c r="F41" s="21"/>
      <c r="G41" s="18">
        <f>B41+D41-F41</f>
        <v>62650</v>
      </c>
      <c r="H41" s="18">
        <f>G41-I41</f>
        <v>20.690000000002328</v>
      </c>
      <c r="I41" s="18">
        <f t="shared" si="16"/>
        <v>62629.31</v>
      </c>
      <c r="J41" s="21"/>
      <c r="K41" s="21">
        <v>62629.31</v>
      </c>
      <c r="L41" s="21"/>
      <c r="M41" s="18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" x14ac:dyDescent="0.35">
      <c r="A42" s="20"/>
      <c r="B42" s="18"/>
      <c r="C42" s="47"/>
      <c r="D42" s="18"/>
      <c r="E42" s="47"/>
      <c r="F42" s="18"/>
      <c r="G42" s="18"/>
      <c r="H42" s="63"/>
      <c r="I42" s="18"/>
      <c r="J42" s="18"/>
      <c r="K42" s="18"/>
      <c r="L42" s="5"/>
      <c r="M42" s="18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" x14ac:dyDescent="0.35">
      <c r="A43" s="20" t="s">
        <v>360</v>
      </c>
      <c r="B43" s="21">
        <v>25000</v>
      </c>
      <c r="C43" s="47" t="s">
        <v>352</v>
      </c>
      <c r="D43" s="18">
        <v>6010</v>
      </c>
      <c r="E43" s="47"/>
      <c r="F43" s="18"/>
      <c r="G43" s="18">
        <f>B43+D43-F43</f>
        <v>31010</v>
      </c>
      <c r="H43" s="18">
        <f>G43-I43</f>
        <v>6.6599999999998545</v>
      </c>
      <c r="I43" s="18">
        <f t="shared" si="16"/>
        <v>31003.34</v>
      </c>
      <c r="J43" s="18"/>
      <c r="K43" s="18">
        <v>31003.34</v>
      </c>
      <c r="L43" s="5"/>
      <c r="M43" s="18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" x14ac:dyDescent="0.35">
      <c r="A44" s="20"/>
      <c r="B44" s="21"/>
      <c r="C44" s="50"/>
      <c r="D44" s="21"/>
      <c r="E44" s="50"/>
      <c r="F44" s="21"/>
      <c r="G44" s="18"/>
      <c r="H44" s="64"/>
      <c r="I44" s="18"/>
      <c r="J44" s="21"/>
      <c r="K44" s="21"/>
      <c r="L44" s="21"/>
      <c r="M44" s="18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" x14ac:dyDescent="0.35">
      <c r="A45" s="20" t="s">
        <v>361</v>
      </c>
      <c r="B45" s="21">
        <v>14000</v>
      </c>
      <c r="C45" s="47"/>
      <c r="D45" s="18"/>
      <c r="E45" s="47" t="s">
        <v>352</v>
      </c>
      <c r="F45" s="18">
        <v>4000</v>
      </c>
      <c r="G45" s="18">
        <f>B45+D45-F45</f>
        <v>10000</v>
      </c>
      <c r="H45" s="18">
        <f>G45-I45</f>
        <v>730.09000000000015</v>
      </c>
      <c r="I45" s="18">
        <f t="shared" si="16"/>
        <v>9269.91</v>
      </c>
      <c r="J45" s="18"/>
      <c r="K45" s="18">
        <v>9269.91</v>
      </c>
      <c r="L45" s="5"/>
      <c r="M45" s="18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" x14ac:dyDescent="0.35">
      <c r="A46" s="16"/>
      <c r="B46" s="18"/>
      <c r="C46" s="47"/>
      <c r="D46" s="18"/>
      <c r="E46" s="47"/>
      <c r="F46" s="18"/>
      <c r="G46" s="18"/>
      <c r="H46" s="63"/>
      <c r="I46" s="18"/>
      <c r="J46" s="18"/>
      <c r="K46" s="18"/>
      <c r="L46" s="5"/>
      <c r="M46" s="18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" x14ac:dyDescent="0.35">
      <c r="A47" s="20" t="s">
        <v>363</v>
      </c>
      <c r="B47" s="18">
        <v>25000</v>
      </c>
      <c r="C47" s="47" t="s">
        <v>352</v>
      </c>
      <c r="D47" s="18">
        <v>1855</v>
      </c>
      <c r="E47" s="47"/>
      <c r="F47" s="18"/>
      <c r="G47" s="18">
        <f>B47+D47-F47</f>
        <v>26855</v>
      </c>
      <c r="H47" s="18">
        <f>G47-I47</f>
        <v>10.25</v>
      </c>
      <c r="I47" s="18">
        <f t="shared" si="16"/>
        <v>26844.75</v>
      </c>
      <c r="J47" s="18"/>
      <c r="K47" s="18">
        <v>26844.75</v>
      </c>
      <c r="L47" s="5"/>
      <c r="M47" s="18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" x14ac:dyDescent="0.35">
      <c r="A48" s="16"/>
      <c r="B48" s="18"/>
      <c r="C48" s="47"/>
      <c r="D48" s="18"/>
      <c r="E48" s="47"/>
      <c r="F48" s="18"/>
      <c r="G48" s="18"/>
      <c r="H48" s="63"/>
      <c r="I48" s="18"/>
      <c r="J48" s="18"/>
      <c r="K48" s="63"/>
      <c r="L48" s="5"/>
      <c r="M48" s="18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" x14ac:dyDescent="0.35">
      <c r="A49" s="20" t="s">
        <v>362</v>
      </c>
      <c r="B49" s="21">
        <v>16000</v>
      </c>
      <c r="C49" s="50" t="s">
        <v>352</v>
      </c>
      <c r="D49" s="21">
        <v>27480</v>
      </c>
      <c r="E49" s="50"/>
      <c r="F49" s="21"/>
      <c r="G49" s="18">
        <f>B49+D49-F49</f>
        <v>43480</v>
      </c>
      <c r="H49" s="18">
        <f>G49-I49</f>
        <v>4.569999999999709</v>
      </c>
      <c r="I49" s="18">
        <f t="shared" si="16"/>
        <v>43475.43</v>
      </c>
      <c r="J49" s="21"/>
      <c r="K49" s="21">
        <v>43475.43</v>
      </c>
      <c r="L49" s="21"/>
      <c r="M49" s="18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" x14ac:dyDescent="0.35">
      <c r="A50" s="20"/>
      <c r="B50" s="18"/>
      <c r="C50" s="47"/>
      <c r="D50" s="18"/>
      <c r="E50" s="47"/>
      <c r="F50" s="18"/>
      <c r="G50" s="18"/>
      <c r="H50" s="18"/>
      <c r="I50" s="18"/>
      <c r="J50" s="18"/>
      <c r="K50" s="18"/>
      <c r="L50" s="5"/>
      <c r="M50" s="18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" x14ac:dyDescent="0.35">
      <c r="A51" s="142"/>
      <c r="B51" s="143">
        <f>SUM(B35:B50)</f>
        <v>219000</v>
      </c>
      <c r="C51" s="128"/>
      <c r="D51" s="143">
        <f>SUM(D35:D50)</f>
        <v>92000</v>
      </c>
      <c r="E51" s="128"/>
      <c r="F51" s="143">
        <f>SUM(F35:F50)</f>
        <v>4000</v>
      </c>
      <c r="G51" s="143">
        <f>SUM(G35:G50)</f>
        <v>307000</v>
      </c>
      <c r="H51" s="143">
        <f t="shared" ref="H51:M51" si="17">SUM(H35:H50)</f>
        <v>789.42999999999302</v>
      </c>
      <c r="I51" s="143">
        <f>SUM(I35:I50)</f>
        <v>306210.57</v>
      </c>
      <c r="J51" s="143">
        <f t="shared" si="17"/>
        <v>0</v>
      </c>
      <c r="K51" s="143">
        <f t="shared" si="17"/>
        <v>306210.57</v>
      </c>
      <c r="L51" s="143">
        <f t="shared" si="17"/>
        <v>0</v>
      </c>
      <c r="M51" s="143">
        <f t="shared" si="17"/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" x14ac:dyDescent="0.35">
      <c r="A52" s="51" t="s">
        <v>239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5"/>
      <c r="M52" s="18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" x14ac:dyDescent="0.35">
      <c r="A53" s="22" t="s">
        <v>307</v>
      </c>
      <c r="B53" s="18">
        <v>787000</v>
      </c>
      <c r="C53" s="18"/>
      <c r="D53" s="18"/>
      <c r="E53" s="18"/>
      <c r="F53" s="18"/>
      <c r="G53" s="18">
        <f t="shared" ref="G53:G56" si="18">B53+D53-F53</f>
        <v>787000</v>
      </c>
      <c r="H53" s="18">
        <f t="shared" ref="H53:H55" si="19">G53-I53</f>
        <v>149000</v>
      </c>
      <c r="I53" s="18">
        <f t="shared" ref="I53:I56" si="20">SUM(J53:M53)</f>
        <v>638000</v>
      </c>
      <c r="J53" s="18">
        <v>638000</v>
      </c>
      <c r="K53" s="18"/>
      <c r="L53" s="5"/>
      <c r="M53" s="18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" x14ac:dyDescent="0.35">
      <c r="A54" s="16" t="s">
        <v>308</v>
      </c>
      <c r="B54" s="18">
        <v>9200</v>
      </c>
      <c r="C54" s="18"/>
      <c r="D54" s="18"/>
      <c r="E54" s="18"/>
      <c r="F54" s="18"/>
      <c r="G54" s="18">
        <f t="shared" si="18"/>
        <v>9200</v>
      </c>
      <c r="H54" s="18">
        <f t="shared" si="19"/>
        <v>0</v>
      </c>
      <c r="I54" s="18">
        <f t="shared" si="20"/>
        <v>9200</v>
      </c>
      <c r="J54" s="18">
        <v>9200</v>
      </c>
      <c r="K54" s="18"/>
      <c r="L54" s="5"/>
      <c r="M54" s="18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" x14ac:dyDescent="0.35">
      <c r="A55" s="20" t="s">
        <v>309</v>
      </c>
      <c r="B55" s="21">
        <v>10000</v>
      </c>
      <c r="C55" s="21"/>
      <c r="D55" s="21"/>
      <c r="E55" s="21"/>
      <c r="F55" s="21"/>
      <c r="G55" s="18">
        <f t="shared" si="18"/>
        <v>10000</v>
      </c>
      <c r="H55" s="18">
        <f t="shared" si="19"/>
        <v>1800</v>
      </c>
      <c r="I55" s="18">
        <f t="shared" si="20"/>
        <v>8200</v>
      </c>
      <c r="J55" s="21">
        <v>8200</v>
      </c>
      <c r="K55" s="21"/>
      <c r="L55" s="5"/>
      <c r="M55" s="18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" x14ac:dyDescent="0.35">
      <c r="A56" s="20" t="s">
        <v>313</v>
      </c>
      <c r="B56" s="21">
        <v>41200</v>
      </c>
      <c r="C56" s="21"/>
      <c r="D56" s="21"/>
      <c r="E56" s="21"/>
      <c r="F56" s="21"/>
      <c r="G56" s="18">
        <f t="shared" si="18"/>
        <v>41200</v>
      </c>
      <c r="H56" s="18">
        <f>G56-I56</f>
        <v>19500</v>
      </c>
      <c r="I56" s="18">
        <f t="shared" si="20"/>
        <v>21700</v>
      </c>
      <c r="J56" s="21">
        <v>21700</v>
      </c>
      <c r="K56" s="21"/>
      <c r="L56" s="5"/>
      <c r="M56" s="18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" x14ac:dyDescent="0.35">
      <c r="A57" s="20" t="s">
        <v>314</v>
      </c>
      <c r="B57" s="21"/>
      <c r="C57" s="21"/>
      <c r="D57" s="21"/>
      <c r="E57" s="21"/>
      <c r="F57" s="21"/>
      <c r="G57" s="18"/>
      <c r="H57" s="21"/>
      <c r="I57" s="21"/>
      <c r="J57" s="21"/>
      <c r="K57" s="21"/>
      <c r="L57" s="5"/>
      <c r="M57" s="18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" x14ac:dyDescent="0.35">
      <c r="A58" s="20" t="s">
        <v>315</v>
      </c>
      <c r="B58" s="21"/>
      <c r="C58" s="21"/>
      <c r="D58" s="21"/>
      <c r="E58" s="21"/>
      <c r="F58" s="21"/>
      <c r="G58" s="18"/>
      <c r="H58" s="21"/>
      <c r="I58" s="21"/>
      <c r="J58" s="21"/>
      <c r="K58" s="21"/>
      <c r="L58" s="5"/>
      <c r="M58" s="18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" x14ac:dyDescent="0.35">
      <c r="A59" s="20" t="s">
        <v>316</v>
      </c>
      <c r="B59" s="21"/>
      <c r="C59" s="21"/>
      <c r="D59" s="21"/>
      <c r="E59" s="21"/>
      <c r="F59" s="21"/>
      <c r="G59" s="18"/>
      <c r="H59" s="21"/>
      <c r="I59" s="21"/>
      <c r="J59" s="21"/>
      <c r="K59" s="21"/>
      <c r="L59" s="5"/>
      <c r="M59" s="18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" x14ac:dyDescent="0.35">
      <c r="A60" s="20" t="s">
        <v>317</v>
      </c>
      <c r="B60" s="21"/>
      <c r="C60" s="21"/>
      <c r="D60" s="21"/>
      <c r="E60" s="21"/>
      <c r="F60" s="21"/>
      <c r="G60" s="18"/>
      <c r="H60" s="21"/>
      <c r="I60" s="21"/>
      <c r="J60" s="21"/>
      <c r="K60" s="21"/>
      <c r="L60" s="5"/>
      <c r="M60" s="18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" x14ac:dyDescent="0.35">
      <c r="A61" s="20" t="s">
        <v>318</v>
      </c>
      <c r="B61" s="21"/>
      <c r="C61" s="21"/>
      <c r="D61" s="21"/>
      <c r="E61" s="21"/>
      <c r="F61" s="21"/>
      <c r="G61" s="18"/>
      <c r="H61" s="21"/>
      <c r="I61" s="21"/>
      <c r="J61" s="21"/>
      <c r="K61" s="21"/>
      <c r="L61" s="5"/>
      <c r="M61" s="18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" x14ac:dyDescent="0.35">
      <c r="A62" s="20" t="s">
        <v>319</v>
      </c>
      <c r="B62" s="21"/>
      <c r="C62" s="21"/>
      <c r="D62" s="21"/>
      <c r="E62" s="21"/>
      <c r="F62" s="21"/>
      <c r="G62" s="18"/>
      <c r="H62" s="21"/>
      <c r="I62" s="21"/>
      <c r="J62" s="21"/>
      <c r="K62" s="21"/>
      <c r="L62" s="5"/>
      <c r="M62" s="18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" x14ac:dyDescent="0.35">
      <c r="A63" s="20" t="s">
        <v>418</v>
      </c>
      <c r="B63" s="21">
        <v>16000</v>
      </c>
      <c r="C63" s="21"/>
      <c r="D63" s="21"/>
      <c r="E63" s="21"/>
      <c r="F63" s="21"/>
      <c r="G63" s="18">
        <f>B63+D63-F63</f>
        <v>16000</v>
      </c>
      <c r="H63" s="18">
        <f>G63-I63</f>
        <v>0</v>
      </c>
      <c r="I63" s="18">
        <f>SUM(J63:M63)</f>
        <v>16000</v>
      </c>
      <c r="J63" s="21"/>
      <c r="K63" s="21">
        <v>16000</v>
      </c>
      <c r="L63" s="5"/>
      <c r="M63" s="18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" x14ac:dyDescent="0.35">
      <c r="A64" s="144"/>
      <c r="B64" s="128">
        <f>SUM(B52:B63)</f>
        <v>863400</v>
      </c>
      <c r="C64" s="128"/>
      <c r="D64" s="128">
        <f>SUM(D52:D63)</f>
        <v>0</v>
      </c>
      <c r="E64" s="128"/>
      <c r="F64" s="128">
        <f>SUM(F52:F63)</f>
        <v>0</v>
      </c>
      <c r="G64" s="128">
        <f>SUM(G52:G63)</f>
        <v>863400</v>
      </c>
      <c r="H64" s="128">
        <f t="shared" ref="H64:M64" si="21">SUM(H52:H63)</f>
        <v>170300</v>
      </c>
      <c r="I64" s="128">
        <f>SUM(I52:I63)</f>
        <v>693100</v>
      </c>
      <c r="J64" s="128">
        <f t="shared" si="21"/>
        <v>677100</v>
      </c>
      <c r="K64" s="128">
        <f t="shared" si="21"/>
        <v>16000</v>
      </c>
      <c r="L64" s="128">
        <f t="shared" si="21"/>
        <v>0</v>
      </c>
      <c r="M64" s="128">
        <f t="shared" si="21"/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" x14ac:dyDescent="0.35">
      <c r="A65" s="6"/>
      <c r="B65" s="8"/>
      <c r="C65" s="48"/>
      <c r="D65" s="10"/>
      <c r="E65" s="48"/>
      <c r="F65" s="10"/>
      <c r="G65" s="12" t="s">
        <v>2</v>
      </c>
      <c r="H65" s="13" t="s">
        <v>6</v>
      </c>
      <c r="I65" s="12" t="s">
        <v>7</v>
      </c>
      <c r="J65" s="179" t="s">
        <v>8</v>
      </c>
      <c r="K65" s="180"/>
      <c r="L65" s="180"/>
      <c r="M65" s="181"/>
      <c r="N65" s="1">
        <v>10</v>
      </c>
      <c r="O65" s="1"/>
      <c r="P65" s="1"/>
      <c r="Q65" s="1"/>
      <c r="R65" s="1"/>
      <c r="S65" s="1"/>
      <c r="T65" s="1"/>
      <c r="U65" s="1"/>
      <c r="V65" s="1"/>
      <c r="W65" s="1"/>
    </row>
    <row r="66" spans="1:23" ht="18" x14ac:dyDescent="0.35">
      <c r="A66" s="7" t="s">
        <v>11</v>
      </c>
      <c r="B66" s="9" t="s">
        <v>2</v>
      </c>
      <c r="C66" s="49"/>
      <c r="D66" s="11" t="s">
        <v>3</v>
      </c>
      <c r="E66" s="49"/>
      <c r="F66" s="11" t="s">
        <v>4</v>
      </c>
      <c r="G66" s="9" t="s">
        <v>5</v>
      </c>
      <c r="H66" s="9" t="s">
        <v>2</v>
      </c>
      <c r="I66" s="14"/>
      <c r="J66" s="95" t="s">
        <v>15</v>
      </c>
      <c r="K66" s="95" t="s">
        <v>16</v>
      </c>
      <c r="L66" s="34" t="s">
        <v>22</v>
      </c>
      <c r="M66" s="34" t="s">
        <v>223</v>
      </c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1" x14ac:dyDescent="0.4">
      <c r="A67" s="28" t="s">
        <v>303</v>
      </c>
      <c r="B67" s="18"/>
      <c r="C67" s="18"/>
      <c r="D67" s="18"/>
      <c r="E67" s="47"/>
      <c r="F67" s="18"/>
      <c r="G67" s="18"/>
      <c r="H67" s="18"/>
      <c r="I67" s="18"/>
      <c r="J67" s="18"/>
      <c r="K67" s="18"/>
      <c r="L67" s="94"/>
      <c r="M67" s="18"/>
      <c r="N67" s="113"/>
      <c r="O67" s="1"/>
      <c r="P67" s="1"/>
      <c r="Q67" s="1"/>
      <c r="R67" s="1"/>
      <c r="S67" s="1"/>
      <c r="T67" s="1"/>
      <c r="U67" s="1"/>
      <c r="V67" s="1"/>
      <c r="W67" s="1"/>
    </row>
    <row r="68" spans="1:23" ht="18" x14ac:dyDescent="0.35">
      <c r="A68" s="16" t="s">
        <v>320</v>
      </c>
      <c r="B68" s="18">
        <v>856000</v>
      </c>
      <c r="C68" s="18"/>
      <c r="D68" s="18"/>
      <c r="E68" s="47"/>
      <c r="F68" s="18"/>
      <c r="G68" s="18">
        <f t="shared" ref="G68:G81" si="22">B68+D68-F68</f>
        <v>856000</v>
      </c>
      <c r="H68" s="18">
        <f t="shared" ref="H68:H80" si="23">G68-I68</f>
        <v>8464</v>
      </c>
      <c r="I68" s="18">
        <f t="shared" ref="I68:I81" si="24">SUM(J68:M68)</f>
        <v>847536</v>
      </c>
      <c r="J68" s="18"/>
      <c r="K68" s="18">
        <v>847536</v>
      </c>
      <c r="L68" s="94"/>
      <c r="M68" s="18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" x14ac:dyDescent="0.35">
      <c r="A69" s="16" t="s">
        <v>321</v>
      </c>
      <c r="B69" s="18">
        <v>159000</v>
      </c>
      <c r="C69" s="18"/>
      <c r="D69" s="18"/>
      <c r="E69" s="47"/>
      <c r="F69" s="18"/>
      <c r="G69" s="18">
        <f t="shared" si="22"/>
        <v>159000</v>
      </c>
      <c r="H69" s="18">
        <f t="shared" si="23"/>
        <v>500</v>
      </c>
      <c r="I69" s="18">
        <f t="shared" si="24"/>
        <v>158500</v>
      </c>
      <c r="J69" s="18"/>
      <c r="K69" s="18">
        <v>158500</v>
      </c>
      <c r="L69" s="94"/>
      <c r="M69" s="18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" x14ac:dyDescent="0.35">
      <c r="A70" s="16" t="s">
        <v>322</v>
      </c>
      <c r="B70" s="18">
        <v>483000</v>
      </c>
      <c r="C70" s="18"/>
      <c r="D70" s="18"/>
      <c r="E70" s="47"/>
      <c r="F70" s="18"/>
      <c r="G70" s="18">
        <f t="shared" si="22"/>
        <v>483000</v>
      </c>
      <c r="H70" s="18">
        <f>G70-I70</f>
        <v>1500</v>
      </c>
      <c r="I70" s="18">
        <f t="shared" si="24"/>
        <v>481500</v>
      </c>
      <c r="J70" s="18"/>
      <c r="K70" s="18">
        <v>481500</v>
      </c>
      <c r="L70" s="94"/>
      <c r="M70" s="18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" x14ac:dyDescent="0.35">
      <c r="A71" s="16" t="s">
        <v>323</v>
      </c>
      <c r="B71" s="18">
        <v>402000</v>
      </c>
      <c r="C71" s="18"/>
      <c r="D71" s="18"/>
      <c r="E71" s="47"/>
      <c r="F71" s="18"/>
      <c r="G71" s="18">
        <f t="shared" si="22"/>
        <v>402000</v>
      </c>
      <c r="H71" s="18">
        <f t="shared" si="23"/>
        <v>1300</v>
      </c>
      <c r="I71" s="18">
        <f t="shared" si="24"/>
        <v>400700</v>
      </c>
      <c r="J71" s="18"/>
      <c r="K71" s="18">
        <v>400700</v>
      </c>
      <c r="L71" s="94"/>
      <c r="M71" s="18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" x14ac:dyDescent="0.35">
      <c r="A72" s="16" t="s">
        <v>324</v>
      </c>
      <c r="B72" s="18">
        <v>219000</v>
      </c>
      <c r="C72" s="18"/>
      <c r="D72" s="18"/>
      <c r="E72" s="47"/>
      <c r="F72" s="18"/>
      <c r="G72" s="18">
        <f t="shared" si="22"/>
        <v>219000</v>
      </c>
      <c r="H72" s="18">
        <f t="shared" si="23"/>
        <v>700</v>
      </c>
      <c r="I72" s="18">
        <f t="shared" si="24"/>
        <v>218300</v>
      </c>
      <c r="J72" s="18"/>
      <c r="K72" s="18">
        <v>218300</v>
      </c>
      <c r="L72" s="94"/>
      <c r="M72" s="18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" x14ac:dyDescent="0.35">
      <c r="A73" s="16" t="s">
        <v>325</v>
      </c>
      <c r="B73" s="18">
        <v>156000</v>
      </c>
      <c r="C73" s="18"/>
      <c r="D73" s="18"/>
      <c r="E73" s="47"/>
      <c r="F73" s="18"/>
      <c r="G73" s="18">
        <f t="shared" si="22"/>
        <v>156000</v>
      </c>
      <c r="H73" s="18">
        <f t="shared" si="23"/>
        <v>500</v>
      </c>
      <c r="I73" s="18">
        <f t="shared" si="24"/>
        <v>155500</v>
      </c>
      <c r="J73" s="18"/>
      <c r="K73" s="18">
        <v>155500</v>
      </c>
      <c r="L73" s="94"/>
      <c r="M73" s="18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" x14ac:dyDescent="0.35">
      <c r="A74" s="16" t="s">
        <v>326</v>
      </c>
      <c r="B74" s="18">
        <v>402000</v>
      </c>
      <c r="C74" s="18"/>
      <c r="D74" s="18"/>
      <c r="E74" s="47"/>
      <c r="F74" s="18"/>
      <c r="G74" s="18">
        <f t="shared" si="22"/>
        <v>402000</v>
      </c>
      <c r="H74" s="18">
        <f t="shared" si="23"/>
        <v>1000</v>
      </c>
      <c r="I74" s="18">
        <f t="shared" si="24"/>
        <v>401000</v>
      </c>
      <c r="J74" s="18"/>
      <c r="K74" s="18">
        <v>401000</v>
      </c>
      <c r="L74" s="94"/>
      <c r="M74" s="18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" x14ac:dyDescent="0.35">
      <c r="A75" s="16" t="s">
        <v>327</v>
      </c>
      <c r="B75" s="18">
        <v>147000</v>
      </c>
      <c r="C75" s="5"/>
      <c r="D75" s="5"/>
      <c r="E75" s="16"/>
      <c r="F75" s="18"/>
      <c r="G75" s="18">
        <f t="shared" si="22"/>
        <v>147000</v>
      </c>
      <c r="H75" s="18">
        <f t="shared" si="23"/>
        <v>500</v>
      </c>
      <c r="I75" s="18">
        <f t="shared" si="24"/>
        <v>146500</v>
      </c>
      <c r="J75" s="5"/>
      <c r="K75" s="18">
        <v>146500</v>
      </c>
      <c r="L75" s="94"/>
      <c r="M75" s="18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" x14ac:dyDescent="0.35">
      <c r="A76" s="16" t="s">
        <v>328</v>
      </c>
      <c r="B76" s="18">
        <v>159000</v>
      </c>
      <c r="C76" s="5"/>
      <c r="D76" s="5"/>
      <c r="E76" s="16"/>
      <c r="F76" s="5"/>
      <c r="G76" s="18">
        <f t="shared" si="22"/>
        <v>159000</v>
      </c>
      <c r="H76" s="18">
        <f t="shared" si="23"/>
        <v>500</v>
      </c>
      <c r="I76" s="18">
        <f t="shared" si="24"/>
        <v>158500</v>
      </c>
      <c r="J76" s="18"/>
      <c r="K76" s="18">
        <v>158500</v>
      </c>
      <c r="L76" s="21"/>
      <c r="M76" s="18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" x14ac:dyDescent="0.35">
      <c r="A77" s="16" t="s">
        <v>329</v>
      </c>
      <c r="B77" s="18">
        <v>128000</v>
      </c>
      <c r="C77" s="5"/>
      <c r="D77" s="18"/>
      <c r="E77" s="16"/>
      <c r="F77" s="5"/>
      <c r="G77" s="18">
        <f t="shared" si="22"/>
        <v>128000</v>
      </c>
      <c r="H77" s="18">
        <f t="shared" si="23"/>
        <v>500</v>
      </c>
      <c r="I77" s="18">
        <f t="shared" si="24"/>
        <v>127500</v>
      </c>
      <c r="J77" s="18"/>
      <c r="K77" s="18">
        <v>127500</v>
      </c>
      <c r="L77" s="21"/>
      <c r="M77" s="18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" x14ac:dyDescent="0.35">
      <c r="A78" s="16" t="s">
        <v>331</v>
      </c>
      <c r="B78" s="18">
        <v>250000</v>
      </c>
      <c r="C78" s="5"/>
      <c r="D78" s="18"/>
      <c r="E78" s="16"/>
      <c r="F78" s="5"/>
      <c r="G78" s="18">
        <f t="shared" si="22"/>
        <v>250000</v>
      </c>
      <c r="H78" s="18">
        <f t="shared" si="23"/>
        <v>42000</v>
      </c>
      <c r="I78" s="18">
        <f t="shared" si="24"/>
        <v>208000</v>
      </c>
      <c r="J78" s="18"/>
      <c r="K78" s="18">
        <v>208000</v>
      </c>
      <c r="L78" s="21"/>
      <c r="M78" s="18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" x14ac:dyDescent="0.35">
      <c r="A79" s="16" t="s">
        <v>395</v>
      </c>
      <c r="B79" s="18"/>
      <c r="C79" s="16" t="s">
        <v>381</v>
      </c>
      <c r="D79" s="18">
        <v>47000</v>
      </c>
      <c r="E79" s="16"/>
      <c r="F79" s="5"/>
      <c r="G79" s="18">
        <f>B79+D79-F79</f>
        <v>47000</v>
      </c>
      <c r="H79" s="18">
        <f t="shared" si="23"/>
        <v>1000</v>
      </c>
      <c r="I79" s="18">
        <f t="shared" si="24"/>
        <v>46000</v>
      </c>
      <c r="J79" s="18">
        <v>46000</v>
      </c>
      <c r="K79" s="18"/>
      <c r="L79" s="21"/>
      <c r="M79" s="18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" x14ac:dyDescent="0.35">
      <c r="A80" s="16" t="s">
        <v>396</v>
      </c>
      <c r="B80" s="18"/>
      <c r="C80" s="16" t="s">
        <v>381</v>
      </c>
      <c r="D80" s="18">
        <v>500000</v>
      </c>
      <c r="E80" s="16"/>
      <c r="F80" s="5"/>
      <c r="G80" s="18">
        <f>B80+D80-F80</f>
        <v>500000</v>
      </c>
      <c r="H80" s="18">
        <f t="shared" si="23"/>
        <v>30000</v>
      </c>
      <c r="I80" s="18">
        <f t="shared" si="24"/>
        <v>470000</v>
      </c>
      <c r="J80" s="18">
        <v>470000</v>
      </c>
      <c r="K80" s="18"/>
      <c r="L80" s="21"/>
      <c r="M80" s="18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" x14ac:dyDescent="0.35">
      <c r="A81" s="16" t="s">
        <v>397</v>
      </c>
      <c r="B81" s="18"/>
      <c r="C81" s="16" t="s">
        <v>381</v>
      </c>
      <c r="D81" s="18">
        <v>73000</v>
      </c>
      <c r="E81" s="16"/>
      <c r="F81" s="5"/>
      <c r="G81" s="18">
        <f t="shared" si="22"/>
        <v>73000</v>
      </c>
      <c r="H81" s="18">
        <f>G81-I81</f>
        <v>73000</v>
      </c>
      <c r="I81" s="18">
        <f t="shared" si="24"/>
        <v>0</v>
      </c>
      <c r="J81" s="18"/>
      <c r="K81" s="18"/>
      <c r="L81" s="21"/>
      <c r="M81" s="18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" x14ac:dyDescent="0.35">
      <c r="A82" s="145"/>
      <c r="B82" s="146">
        <f>SUM(B68:B81)</f>
        <v>3361000</v>
      </c>
      <c r="C82" s="147"/>
      <c r="D82" s="146">
        <f>SUM(D68:D81)</f>
        <v>620000</v>
      </c>
      <c r="E82" s="147"/>
      <c r="F82" s="146">
        <f>SUM(F68:F81)</f>
        <v>0</v>
      </c>
      <c r="G82" s="146">
        <f>SUM(G68:G81)</f>
        <v>3981000</v>
      </c>
      <c r="H82" s="146">
        <f t="shared" ref="H82:M82" si="25">SUM(H68:H81)</f>
        <v>161464</v>
      </c>
      <c r="I82" s="146">
        <f>SUM(I68:I81)</f>
        <v>3819536</v>
      </c>
      <c r="J82" s="146">
        <f t="shared" si="25"/>
        <v>516000</v>
      </c>
      <c r="K82" s="146">
        <f t="shared" si="25"/>
        <v>3303536</v>
      </c>
      <c r="L82" s="146">
        <f t="shared" si="25"/>
        <v>0</v>
      </c>
      <c r="M82" s="146">
        <f t="shared" si="25"/>
        <v>0</v>
      </c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" x14ac:dyDescent="0.35">
      <c r="A83" s="135" t="s">
        <v>412</v>
      </c>
      <c r="B83" s="139">
        <f>B11+B17+B28+B32+B51+B64+B82</f>
        <v>7227040</v>
      </c>
      <c r="C83" s="138"/>
      <c r="D83" s="139">
        <f>D11+D17+D28+D32+D51+D64+D82</f>
        <v>921461</v>
      </c>
      <c r="E83" s="138"/>
      <c r="F83" s="139">
        <f>F11+F17+F28+F32+F51+F64+F82</f>
        <v>887181</v>
      </c>
      <c r="G83" s="139">
        <f>G11+G17+G28+G32+G51+G64+G82</f>
        <v>7261320</v>
      </c>
      <c r="H83" s="139">
        <f t="shared" ref="H83:M83" si="26">H11+H17+H28+H32+H51+H64+H82</f>
        <v>387554.06999999995</v>
      </c>
      <c r="I83" s="139">
        <f>I11+I17+I28+I32+I51+I64+I82</f>
        <v>6873765.9299999997</v>
      </c>
      <c r="J83" s="139">
        <f t="shared" si="26"/>
        <v>2951954.3600000003</v>
      </c>
      <c r="K83" s="139">
        <f t="shared" si="26"/>
        <v>3816421.57</v>
      </c>
      <c r="L83" s="139">
        <f t="shared" si="26"/>
        <v>0</v>
      </c>
      <c r="M83" s="139">
        <f t="shared" si="26"/>
        <v>105390</v>
      </c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" x14ac:dyDescent="0.35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" x14ac:dyDescent="0.35">
      <c r="A85" s="16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" x14ac:dyDescent="0.35">
      <c r="A86" s="16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" x14ac:dyDescent="0.35">
      <c r="A87" s="26"/>
      <c r="B87" s="21"/>
      <c r="C87" s="21"/>
      <c r="D87" s="21"/>
      <c r="E87" s="21"/>
      <c r="F87" s="21"/>
      <c r="G87" s="21"/>
      <c r="H87" s="21"/>
      <c r="I87" s="20"/>
      <c r="J87" s="21"/>
      <c r="K87" s="2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" x14ac:dyDescent="0.35">
      <c r="A88" s="19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" x14ac:dyDescent="0.35">
      <c r="A89" s="16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" x14ac:dyDescent="0.35">
      <c r="A90" s="16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" x14ac:dyDescent="0.35">
      <c r="A91" s="20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" x14ac:dyDescent="0.35">
      <c r="A92" s="19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" x14ac:dyDescent="0.35">
      <c r="A93" s="16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" x14ac:dyDescent="0.35">
      <c r="A94" s="16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" x14ac:dyDescent="0.35">
      <c r="A95" s="16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" x14ac:dyDescent="0.35">
      <c r="A96" s="20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" x14ac:dyDescent="0.35">
      <c r="A97" s="19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" x14ac:dyDescent="0.35">
      <c r="A98" s="16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" x14ac:dyDescent="0.3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" x14ac:dyDescent="0.35">
      <c r="A100" s="19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" x14ac:dyDescent="0.35">
      <c r="A101" s="16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" x14ac:dyDescent="0.35">
      <c r="A102" s="16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" x14ac:dyDescent="0.35">
      <c r="A103" s="16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" x14ac:dyDescent="0.35">
      <c r="A104" s="16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" x14ac:dyDescent="0.35">
      <c r="A105" s="16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" x14ac:dyDescent="0.35">
      <c r="A106" s="16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" x14ac:dyDescent="0.35">
      <c r="A107" s="16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" x14ac:dyDescent="0.35">
      <c r="A108" s="16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" x14ac:dyDescent="0.35">
      <c r="A112" s="6"/>
      <c r="B112" s="8"/>
      <c r="C112" s="3"/>
      <c r="D112" s="10"/>
      <c r="E112" s="3"/>
      <c r="F112" s="10"/>
      <c r="G112" s="12" t="s">
        <v>2</v>
      </c>
      <c r="H112" s="13" t="s">
        <v>6</v>
      </c>
      <c r="I112" s="12" t="s">
        <v>7</v>
      </c>
      <c r="J112" s="175" t="s">
        <v>8</v>
      </c>
      <c r="K112" s="17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" x14ac:dyDescent="0.35">
      <c r="A113" s="7" t="s">
        <v>11</v>
      </c>
      <c r="B113" s="9" t="s">
        <v>2</v>
      </c>
      <c r="C113" s="4"/>
      <c r="D113" s="11" t="s">
        <v>3</v>
      </c>
      <c r="E113" s="4"/>
      <c r="F113" s="11" t="s">
        <v>4</v>
      </c>
      <c r="G113" s="9" t="s">
        <v>5</v>
      </c>
      <c r="H113" s="9" t="s">
        <v>2</v>
      </c>
      <c r="I113" s="14"/>
      <c r="J113" s="15" t="s">
        <v>15</v>
      </c>
      <c r="K113" s="15" t="s">
        <v>16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" x14ac:dyDescent="0.35">
      <c r="A114" s="17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" x14ac:dyDescent="0.35">
      <c r="A115" s="16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" x14ac:dyDescent="0.35">
      <c r="A116" s="16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" x14ac:dyDescent="0.35">
      <c r="A117" s="26"/>
      <c r="B117" s="21"/>
      <c r="C117" s="21"/>
      <c r="D117" s="21"/>
      <c r="E117" s="21"/>
      <c r="F117" s="21"/>
      <c r="G117" s="21"/>
      <c r="H117" s="21"/>
      <c r="I117" s="20"/>
      <c r="J117" s="21"/>
      <c r="K117" s="2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" x14ac:dyDescent="0.35">
      <c r="A118" s="19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" x14ac:dyDescent="0.35">
      <c r="A119" s="16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" x14ac:dyDescent="0.35">
      <c r="A120" s="16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" x14ac:dyDescent="0.35">
      <c r="A121" s="20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" x14ac:dyDescent="0.35">
      <c r="A122" s="19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" x14ac:dyDescent="0.35">
      <c r="A123" s="16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" x14ac:dyDescent="0.35">
      <c r="A124" s="16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" x14ac:dyDescent="0.35">
      <c r="A125" s="16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" x14ac:dyDescent="0.35">
      <c r="A126" s="20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" x14ac:dyDescent="0.35">
      <c r="A127" s="19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" x14ac:dyDescent="0.35">
      <c r="A128" s="16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" x14ac:dyDescent="0.35">
      <c r="A129" s="20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" x14ac:dyDescent="0.35">
      <c r="A130" s="19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" x14ac:dyDescent="0.35">
      <c r="A131" s="16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" x14ac:dyDescent="0.35">
      <c r="A132" s="16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" x14ac:dyDescent="0.35">
      <c r="A133" s="16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" x14ac:dyDescent="0.35">
      <c r="A134" s="16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" x14ac:dyDescent="0.35">
      <c r="A135" s="16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" x14ac:dyDescent="0.35">
      <c r="A136" s="16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" x14ac:dyDescent="0.35">
      <c r="A137" s="16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" x14ac:dyDescent="0.35">
      <c r="A138" s="16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</sheetData>
  <mergeCells count="7">
    <mergeCell ref="J112:K112"/>
    <mergeCell ref="A1:K1"/>
    <mergeCell ref="A2:K2"/>
    <mergeCell ref="A3:K3"/>
    <mergeCell ref="J4:M4"/>
    <mergeCell ref="J33:M33"/>
    <mergeCell ref="J65:M65"/>
  </mergeCells>
  <pageMargins left="1.6929133858267718" right="0.19685039370078741" top="0.31496062992125984" bottom="0.23622047244094491" header="0.31496062992125984" footer="0.23622047244094491"/>
  <pageSetup paperSize="5" scale="85" orientation="landscape" horizontalDpi="4294967293" r:id="rId1"/>
  <rowBreaks count="4" manualBreakCount="4">
    <brk id="32" max="16383" man="1"/>
    <brk id="64" max="21" man="1"/>
    <brk id="83" max="21" man="1"/>
    <brk id="111" max="21" man="1"/>
  </rowBreaks>
  <colBreaks count="1" manualBreakCount="1">
    <brk id="14" max="20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8"/>
  <sheetViews>
    <sheetView view="pageBreakPreview" zoomScaleSheetLayoutView="100" workbookViewId="0">
      <selection activeCell="F8" sqref="F8"/>
    </sheetView>
  </sheetViews>
  <sheetFormatPr defaultRowHeight="13.8" x14ac:dyDescent="0.25"/>
  <cols>
    <col min="1" max="1" width="48.8984375" customWidth="1"/>
    <col min="2" max="2" width="12.69921875" customWidth="1"/>
    <col min="3" max="3" width="2.19921875" customWidth="1"/>
    <col min="4" max="4" width="11.59765625" customWidth="1"/>
    <col min="5" max="5" width="2.3984375" customWidth="1"/>
    <col min="6" max="6" width="11.19921875" customWidth="1"/>
    <col min="7" max="7" width="11.5" customWidth="1"/>
    <col min="8" max="8" width="12.09765625" customWidth="1"/>
    <col min="9" max="9" width="11.69921875" customWidth="1"/>
    <col min="10" max="10" width="11.8984375" customWidth="1"/>
    <col min="11" max="11" width="11.59765625" customWidth="1"/>
    <col min="12" max="12" width="12.59765625" customWidth="1"/>
    <col min="13" max="13" width="3.69921875" customWidth="1"/>
  </cols>
  <sheetData>
    <row r="1" spans="1:23" ht="18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"/>
      <c r="M1" s="1">
        <v>11</v>
      </c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x14ac:dyDescent="0.35">
      <c r="A2" s="174" t="s">
        <v>107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x14ac:dyDescent="0.35">
      <c r="A3" s="174" t="s">
        <v>241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" x14ac:dyDescent="0.35">
      <c r="A4" s="6"/>
      <c r="B4" s="8"/>
      <c r="C4" s="3"/>
      <c r="D4" s="10"/>
      <c r="E4" s="3"/>
      <c r="F4" s="10"/>
      <c r="G4" s="12" t="s">
        <v>2</v>
      </c>
      <c r="H4" s="13" t="s">
        <v>6</v>
      </c>
      <c r="I4" s="12" t="s">
        <v>7</v>
      </c>
      <c r="J4" s="179" t="s">
        <v>8</v>
      </c>
      <c r="K4" s="180"/>
      <c r="L4" s="18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" x14ac:dyDescent="0.35">
      <c r="A5" s="7" t="s">
        <v>11</v>
      </c>
      <c r="B5" s="9" t="s">
        <v>2</v>
      </c>
      <c r="C5" s="4"/>
      <c r="D5" s="11" t="s">
        <v>3</v>
      </c>
      <c r="E5" s="4"/>
      <c r="F5" s="11" t="s">
        <v>4</v>
      </c>
      <c r="G5" s="9" t="s">
        <v>5</v>
      </c>
      <c r="H5" s="9" t="s">
        <v>2</v>
      </c>
      <c r="I5" s="14"/>
      <c r="J5" s="15" t="s">
        <v>9</v>
      </c>
      <c r="K5" s="29" t="s">
        <v>78</v>
      </c>
      <c r="L5" s="29" t="s">
        <v>79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" x14ac:dyDescent="0.35">
      <c r="A6" s="95" t="s">
        <v>267</v>
      </c>
      <c r="B6" s="18"/>
      <c r="C6" s="47"/>
      <c r="D6" s="18"/>
      <c r="E6" s="47"/>
      <c r="F6" s="18"/>
      <c r="G6" s="18"/>
      <c r="H6" s="18"/>
      <c r="I6" s="18"/>
      <c r="J6" s="18"/>
      <c r="K6" s="18"/>
      <c r="L6" s="18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 x14ac:dyDescent="0.35">
      <c r="A7" s="16" t="s">
        <v>12</v>
      </c>
      <c r="B7" s="18">
        <v>804900</v>
      </c>
      <c r="C7" s="47"/>
      <c r="D7" s="18"/>
      <c r="E7" s="57" t="s">
        <v>374</v>
      </c>
      <c r="F7" s="18">
        <f>95000+182160+154995</f>
        <v>432155</v>
      </c>
      <c r="G7" s="18">
        <f>B7+D7-F7</f>
        <v>372745</v>
      </c>
      <c r="H7" s="18">
        <f>G7-I7</f>
        <v>0</v>
      </c>
      <c r="I7" s="18">
        <f>SUM(J7:L7)</f>
        <v>372745</v>
      </c>
      <c r="J7" s="18">
        <v>372745</v>
      </c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x14ac:dyDescent="0.35">
      <c r="A8" s="16" t="s">
        <v>205</v>
      </c>
      <c r="B8" s="18">
        <v>164400</v>
      </c>
      <c r="C8" s="47"/>
      <c r="D8" s="18"/>
      <c r="E8" s="47" t="s">
        <v>372</v>
      </c>
      <c r="F8" s="18">
        <v>150520</v>
      </c>
      <c r="G8" s="18">
        <f>B8+D8-F8</f>
        <v>13880</v>
      </c>
      <c r="H8" s="18">
        <f t="shared" ref="H8:H10" si="0">G8-I8</f>
        <v>0</v>
      </c>
      <c r="I8" s="18">
        <f>SUM(J8:L8)</f>
        <v>13880</v>
      </c>
      <c r="J8" s="18">
        <v>13880</v>
      </c>
      <c r="K8" s="18"/>
      <c r="L8" s="18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" x14ac:dyDescent="0.35">
      <c r="A9" s="16" t="s">
        <v>194</v>
      </c>
      <c r="B9" s="18">
        <v>484560</v>
      </c>
      <c r="C9" s="47"/>
      <c r="D9" s="18"/>
      <c r="E9" s="47" t="s">
        <v>404</v>
      </c>
      <c r="F9" s="18">
        <f>119160+26700</f>
        <v>145860</v>
      </c>
      <c r="G9" s="18">
        <f t="shared" ref="G9:G10" si="1">B9+D9-F9</f>
        <v>338700</v>
      </c>
      <c r="H9" s="18">
        <f t="shared" si="0"/>
        <v>0</v>
      </c>
      <c r="I9" s="18">
        <f>SUM(J9:L9)</f>
        <v>338700</v>
      </c>
      <c r="J9" s="18">
        <v>338700</v>
      </c>
      <c r="K9" s="18"/>
      <c r="L9" s="18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" x14ac:dyDescent="0.35">
      <c r="A10" s="16" t="s">
        <v>206</v>
      </c>
      <c r="B10" s="18">
        <v>343440</v>
      </c>
      <c r="C10" s="59"/>
      <c r="D10" s="18"/>
      <c r="E10" s="47" t="s">
        <v>404</v>
      </c>
      <c r="F10" s="18">
        <f>25325+116800</f>
        <v>142125</v>
      </c>
      <c r="G10" s="18">
        <f t="shared" si="1"/>
        <v>201315</v>
      </c>
      <c r="H10" s="18">
        <f t="shared" si="0"/>
        <v>15</v>
      </c>
      <c r="I10" s="18">
        <f>SUM(J10:L10)</f>
        <v>201300</v>
      </c>
      <c r="J10" s="18">
        <v>201300</v>
      </c>
      <c r="K10" s="18"/>
      <c r="L10" s="1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" x14ac:dyDescent="0.35">
      <c r="A11" s="127"/>
      <c r="B11" s="128">
        <f>SUM(B7:B10)</f>
        <v>1797300</v>
      </c>
      <c r="C11" s="129"/>
      <c r="D11" s="128">
        <f>SUM(D7:D10)</f>
        <v>0</v>
      </c>
      <c r="E11" s="129"/>
      <c r="F11" s="128">
        <f>SUM(F7:F10)</f>
        <v>870660</v>
      </c>
      <c r="G11" s="128">
        <f>SUM(G7:G10)</f>
        <v>926640</v>
      </c>
      <c r="H11" s="128">
        <f>SUM(H7:H10)</f>
        <v>15</v>
      </c>
      <c r="I11" s="128">
        <f t="shared" ref="I11:L11" si="2">SUM(I7:I10)</f>
        <v>926625</v>
      </c>
      <c r="J11" s="128">
        <f t="shared" si="2"/>
        <v>926625</v>
      </c>
      <c r="K11" s="128">
        <f t="shared" si="2"/>
        <v>0</v>
      </c>
      <c r="L11" s="128">
        <f t="shared" si="2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" x14ac:dyDescent="0.35">
      <c r="A12" s="28" t="s">
        <v>252</v>
      </c>
      <c r="B12" s="18"/>
      <c r="C12" s="47"/>
      <c r="D12" s="18"/>
      <c r="E12" s="47"/>
      <c r="F12" s="18"/>
      <c r="G12" s="18"/>
      <c r="H12" s="18"/>
      <c r="I12" s="18"/>
      <c r="J12" s="18"/>
      <c r="K12" s="18"/>
      <c r="L12" s="1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" x14ac:dyDescent="0.35">
      <c r="A13" s="16" t="s">
        <v>13</v>
      </c>
      <c r="B13" s="18">
        <v>10000</v>
      </c>
      <c r="C13" s="47"/>
      <c r="D13" s="18"/>
      <c r="E13" s="47" t="s">
        <v>403</v>
      </c>
      <c r="F13" s="18">
        <v>8900</v>
      </c>
      <c r="G13" s="18">
        <f t="shared" ref="G13:G15" si="3">B13+D13-F13</f>
        <v>1100</v>
      </c>
      <c r="H13" s="18">
        <f t="shared" ref="H13:H15" si="4">G13-I13</f>
        <v>40</v>
      </c>
      <c r="I13" s="18">
        <f>SUM(J13:L13)</f>
        <v>1060</v>
      </c>
      <c r="J13" s="18">
        <v>1060</v>
      </c>
      <c r="K13" s="18"/>
      <c r="L13" s="1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" x14ac:dyDescent="0.35">
      <c r="A14" s="16" t="s">
        <v>14</v>
      </c>
      <c r="B14" s="18">
        <v>10000</v>
      </c>
      <c r="C14" s="47"/>
      <c r="D14" s="18"/>
      <c r="E14" s="47" t="s">
        <v>403</v>
      </c>
      <c r="F14" s="18">
        <v>3800</v>
      </c>
      <c r="G14" s="18">
        <f t="shared" si="3"/>
        <v>6200</v>
      </c>
      <c r="H14" s="18">
        <f t="shared" si="4"/>
        <v>0</v>
      </c>
      <c r="I14" s="18">
        <f t="shared" ref="I14" si="5">SUM(J14:L14)</f>
        <v>6200</v>
      </c>
      <c r="J14" s="18">
        <v>6200</v>
      </c>
      <c r="K14" s="18"/>
      <c r="L14" s="1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" x14ac:dyDescent="0.35">
      <c r="A15" s="16" t="s">
        <v>17</v>
      </c>
      <c r="B15" s="18">
        <v>30000</v>
      </c>
      <c r="C15" s="47" t="s">
        <v>372</v>
      </c>
      <c r="D15" s="18">
        <v>12000</v>
      </c>
      <c r="E15" s="47"/>
      <c r="F15" s="18"/>
      <c r="G15" s="18">
        <f t="shared" si="3"/>
        <v>42000</v>
      </c>
      <c r="H15" s="18">
        <f t="shared" si="4"/>
        <v>750</v>
      </c>
      <c r="I15" s="18">
        <v>41250</v>
      </c>
      <c r="J15" s="18">
        <v>26250</v>
      </c>
      <c r="K15" s="18"/>
      <c r="L15" s="1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" x14ac:dyDescent="0.35">
      <c r="A16" s="127"/>
      <c r="B16" s="128">
        <f>SUM(B13:B15)</f>
        <v>50000</v>
      </c>
      <c r="C16" s="129"/>
      <c r="D16" s="128">
        <f>SUM(D13:D15)</f>
        <v>12000</v>
      </c>
      <c r="E16" s="129"/>
      <c r="F16" s="128">
        <f>SUM(F13:F15)</f>
        <v>12700</v>
      </c>
      <c r="G16" s="128">
        <f>SUM(G13:G15)</f>
        <v>49300</v>
      </c>
      <c r="H16" s="128">
        <f>SUM(H13:H15)</f>
        <v>790</v>
      </c>
      <c r="I16" s="128">
        <f>SUM(I13:I15)</f>
        <v>48510</v>
      </c>
      <c r="J16" s="128">
        <f>SUM(J13:J15)</f>
        <v>33510</v>
      </c>
      <c r="K16" s="128">
        <f t="shared" ref="K16:L16" si="6">SUM(K13:K15)</f>
        <v>0</v>
      </c>
      <c r="L16" s="128">
        <f t="shared" si="6"/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x14ac:dyDescent="0.35">
      <c r="A17" s="28" t="s">
        <v>264</v>
      </c>
      <c r="B17" s="18"/>
      <c r="C17" s="47"/>
      <c r="D17" s="18"/>
      <c r="E17" s="47"/>
      <c r="F17" s="18"/>
      <c r="G17" s="18"/>
      <c r="H17" s="18"/>
      <c r="I17" s="18"/>
      <c r="J17" s="18"/>
      <c r="K17" s="18"/>
      <c r="L17" s="1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x14ac:dyDescent="0.35">
      <c r="A18" s="16" t="s">
        <v>80</v>
      </c>
      <c r="B18" s="18">
        <v>10000</v>
      </c>
      <c r="C18" s="47"/>
      <c r="D18" s="18"/>
      <c r="E18" s="47" t="s">
        <v>219</v>
      </c>
      <c r="F18" s="18">
        <v>10000</v>
      </c>
      <c r="G18" s="18">
        <f t="shared" ref="G18:G25" si="7">B18+D18-F18</f>
        <v>0</v>
      </c>
      <c r="H18" s="18">
        <f t="shared" ref="H18:H25" si="8">G18-I18</f>
        <v>0</v>
      </c>
      <c r="I18" s="18">
        <f>SUM(J18:L18)</f>
        <v>0</v>
      </c>
      <c r="J18" s="63" t="s">
        <v>222</v>
      </c>
      <c r="K18" s="18"/>
      <c r="L18" s="1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" x14ac:dyDescent="0.35">
      <c r="A19" s="16" t="s">
        <v>81</v>
      </c>
      <c r="B19" s="18">
        <v>153000</v>
      </c>
      <c r="C19" s="47"/>
      <c r="D19" s="18"/>
      <c r="E19" s="47" t="s">
        <v>398</v>
      </c>
      <c r="F19" s="18">
        <v>11000</v>
      </c>
      <c r="G19" s="18">
        <f t="shared" si="7"/>
        <v>142000</v>
      </c>
      <c r="H19" s="18">
        <f t="shared" si="8"/>
        <v>68</v>
      </c>
      <c r="I19" s="18">
        <f>SUM(J19:L19)</f>
        <v>141932</v>
      </c>
      <c r="J19" s="18">
        <v>141932</v>
      </c>
      <c r="K19" s="18"/>
      <c r="L19" s="1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x14ac:dyDescent="0.35">
      <c r="A20" s="16" t="s">
        <v>269</v>
      </c>
      <c r="B20" s="18">
        <v>144000</v>
      </c>
      <c r="C20" s="47"/>
      <c r="D20" s="18"/>
      <c r="E20" s="47"/>
      <c r="F20" s="18"/>
      <c r="G20" s="18">
        <f t="shared" si="7"/>
        <v>144000</v>
      </c>
      <c r="H20" s="18">
        <f t="shared" si="8"/>
        <v>0</v>
      </c>
      <c r="I20" s="18">
        <f>SUM(J20:L20)</f>
        <v>144000</v>
      </c>
      <c r="J20" s="18">
        <v>144000</v>
      </c>
      <c r="K20" s="18"/>
      <c r="L20" s="1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x14ac:dyDescent="0.35">
      <c r="A21" s="16" t="s">
        <v>87</v>
      </c>
      <c r="B21" s="18">
        <v>20000</v>
      </c>
      <c r="C21" s="47" t="s">
        <v>375</v>
      </c>
      <c r="D21" s="18">
        <f>10000+12000</f>
        <v>22000</v>
      </c>
      <c r="E21" s="47"/>
      <c r="F21" s="18"/>
      <c r="G21" s="18">
        <f t="shared" si="7"/>
        <v>42000</v>
      </c>
      <c r="H21" s="18">
        <f t="shared" si="8"/>
        <v>10992</v>
      </c>
      <c r="I21" s="18">
        <f>SUM(J21:L21)</f>
        <v>31008</v>
      </c>
      <c r="J21" s="18">
        <v>31008</v>
      </c>
      <c r="K21" s="63"/>
      <c r="L21" s="1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x14ac:dyDescent="0.35">
      <c r="A22" s="16" t="s">
        <v>272</v>
      </c>
      <c r="B22" s="18">
        <v>50000</v>
      </c>
      <c r="C22" s="47"/>
      <c r="D22" s="18"/>
      <c r="E22" s="47"/>
      <c r="F22" s="18"/>
      <c r="G22" s="18">
        <f t="shared" si="7"/>
        <v>50000</v>
      </c>
      <c r="H22" s="18">
        <f t="shared" si="8"/>
        <v>577</v>
      </c>
      <c r="I22" s="18">
        <f>SUM(J22:L22)</f>
        <v>49423</v>
      </c>
      <c r="J22" s="18"/>
      <c r="K22" s="63">
        <v>49423</v>
      </c>
      <c r="L22" s="1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x14ac:dyDescent="0.35">
      <c r="A23" s="16" t="s">
        <v>85</v>
      </c>
      <c r="B23" s="18">
        <v>3000</v>
      </c>
      <c r="C23" s="47"/>
      <c r="D23" s="18"/>
      <c r="E23" s="59"/>
      <c r="F23" s="18"/>
      <c r="G23" s="18">
        <f t="shared" si="7"/>
        <v>3000</v>
      </c>
      <c r="H23" s="18">
        <f t="shared" si="8"/>
        <v>0</v>
      </c>
      <c r="I23" s="18">
        <f t="shared" ref="I23:I25" si="9">SUM(J23:L23)</f>
        <v>3000</v>
      </c>
      <c r="J23" s="18"/>
      <c r="K23" s="63">
        <v>3000</v>
      </c>
      <c r="L23" s="1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 x14ac:dyDescent="0.35">
      <c r="A24" s="16" t="s">
        <v>273</v>
      </c>
      <c r="B24" s="18">
        <v>3000</v>
      </c>
      <c r="C24" s="47"/>
      <c r="D24" s="18"/>
      <c r="E24" s="47" t="s">
        <v>221</v>
      </c>
      <c r="F24" s="18">
        <v>2000</v>
      </c>
      <c r="G24" s="18">
        <f t="shared" si="7"/>
        <v>1000</v>
      </c>
      <c r="H24" s="18">
        <f t="shared" si="8"/>
        <v>1000</v>
      </c>
      <c r="I24" s="18">
        <f t="shared" si="9"/>
        <v>0</v>
      </c>
      <c r="J24" s="18"/>
      <c r="K24" s="63" t="s">
        <v>222</v>
      </c>
      <c r="L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x14ac:dyDescent="0.35">
      <c r="A25" s="16" t="s">
        <v>274</v>
      </c>
      <c r="B25" s="18">
        <v>5000</v>
      </c>
      <c r="C25" s="47"/>
      <c r="D25" s="18"/>
      <c r="E25" s="47" t="s">
        <v>221</v>
      </c>
      <c r="F25" s="18">
        <v>4000</v>
      </c>
      <c r="G25" s="18">
        <f t="shared" si="7"/>
        <v>1000</v>
      </c>
      <c r="H25" s="18">
        <f t="shared" si="8"/>
        <v>1000</v>
      </c>
      <c r="I25" s="18">
        <f t="shared" si="9"/>
        <v>0</v>
      </c>
      <c r="J25" s="18"/>
      <c r="K25" s="18" t="s">
        <v>222</v>
      </c>
      <c r="L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" x14ac:dyDescent="0.35">
      <c r="A26" s="23"/>
      <c r="B26" s="39"/>
      <c r="C26" s="52"/>
      <c r="D26" s="41"/>
      <c r="E26" s="52"/>
      <c r="F26" s="41"/>
      <c r="G26" s="42" t="s">
        <v>2</v>
      </c>
      <c r="H26" s="42" t="s">
        <v>6</v>
      </c>
      <c r="I26" s="42" t="s">
        <v>7</v>
      </c>
      <c r="J26" s="182" t="s">
        <v>8</v>
      </c>
      <c r="K26" s="183"/>
      <c r="L26" s="184"/>
      <c r="M26" s="1">
        <v>12</v>
      </c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" x14ac:dyDescent="0.35">
      <c r="A27" s="24" t="s">
        <v>11</v>
      </c>
      <c r="B27" s="35" t="s">
        <v>2</v>
      </c>
      <c r="C27" s="53"/>
      <c r="D27" s="36" t="s">
        <v>3</v>
      </c>
      <c r="E27" s="53"/>
      <c r="F27" s="36" t="s">
        <v>4</v>
      </c>
      <c r="G27" s="35" t="s">
        <v>5</v>
      </c>
      <c r="H27" s="35" t="s">
        <v>2</v>
      </c>
      <c r="I27" s="44"/>
      <c r="J27" s="45" t="s">
        <v>9</v>
      </c>
      <c r="K27" s="45" t="s">
        <v>78</v>
      </c>
      <c r="L27" s="45" t="s">
        <v>79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" x14ac:dyDescent="0.35">
      <c r="A28" s="16" t="s">
        <v>86</v>
      </c>
      <c r="B28" s="18">
        <v>2000</v>
      </c>
      <c r="C28" s="47"/>
      <c r="D28" s="18"/>
      <c r="E28" s="47" t="s">
        <v>221</v>
      </c>
      <c r="F28" s="18">
        <v>1000</v>
      </c>
      <c r="G28" s="18">
        <f t="shared" ref="G28:G32" si="10">B28+D28-F28</f>
        <v>1000</v>
      </c>
      <c r="H28" s="18">
        <f t="shared" ref="H28:H32" si="11">G28-I28</f>
        <v>1000</v>
      </c>
      <c r="I28" s="18">
        <f>SUM(J28:L28)</f>
        <v>0</v>
      </c>
      <c r="J28" s="18"/>
      <c r="K28" s="18" t="s">
        <v>222</v>
      </c>
      <c r="L28" s="1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" x14ac:dyDescent="0.35">
      <c r="A29" s="16" t="s">
        <v>276</v>
      </c>
      <c r="B29" s="18">
        <v>50000</v>
      </c>
      <c r="C29" s="47"/>
      <c r="D29" s="18"/>
      <c r="E29" s="47"/>
      <c r="F29" s="18"/>
      <c r="G29" s="18">
        <f t="shared" si="10"/>
        <v>50000</v>
      </c>
      <c r="H29" s="18">
        <f t="shared" si="11"/>
        <v>0</v>
      </c>
      <c r="I29" s="18">
        <f t="shared" ref="I29:I31" si="12">SUM(J29:L29)</f>
        <v>50000</v>
      </c>
      <c r="J29" s="18"/>
      <c r="K29" s="18"/>
      <c r="L29" s="18">
        <v>50000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" x14ac:dyDescent="0.35">
      <c r="A30" s="46" t="s">
        <v>88</v>
      </c>
      <c r="B30" s="18"/>
      <c r="C30" s="47"/>
      <c r="D30" s="18"/>
      <c r="E30" s="47"/>
      <c r="F30" s="18"/>
      <c r="G30" s="18">
        <f t="shared" si="10"/>
        <v>0</v>
      </c>
      <c r="H30" s="18">
        <f t="shared" si="11"/>
        <v>0</v>
      </c>
      <c r="I30" s="18">
        <f t="shared" si="12"/>
        <v>0</v>
      </c>
      <c r="J30" s="18"/>
      <c r="K30" s="18"/>
      <c r="L30" s="1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" x14ac:dyDescent="0.35">
      <c r="A31" s="16" t="s">
        <v>89</v>
      </c>
      <c r="B31" s="18">
        <v>279800</v>
      </c>
      <c r="C31" s="47" t="s">
        <v>219</v>
      </c>
      <c r="D31" s="18">
        <v>72000</v>
      </c>
      <c r="E31" s="47"/>
      <c r="F31" s="18"/>
      <c r="G31" s="18">
        <f t="shared" si="10"/>
        <v>351800</v>
      </c>
      <c r="H31" s="18">
        <f t="shared" si="11"/>
        <v>9800</v>
      </c>
      <c r="I31" s="18">
        <f t="shared" si="12"/>
        <v>342000</v>
      </c>
      <c r="J31" s="18"/>
      <c r="K31" s="18">
        <v>342000</v>
      </c>
      <c r="L31" s="1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" x14ac:dyDescent="0.35">
      <c r="A32" s="16" t="s">
        <v>90</v>
      </c>
      <c r="B32" s="18">
        <v>279800</v>
      </c>
      <c r="C32" s="47" t="s">
        <v>219</v>
      </c>
      <c r="D32" s="18">
        <v>72000</v>
      </c>
      <c r="E32" s="47"/>
      <c r="F32" s="18"/>
      <c r="G32" s="18">
        <f t="shared" si="10"/>
        <v>351800</v>
      </c>
      <c r="H32" s="18">
        <f t="shared" si="11"/>
        <v>9800</v>
      </c>
      <c r="I32" s="18">
        <f>SUM(J32:L32)</f>
        <v>342000</v>
      </c>
      <c r="J32" s="18"/>
      <c r="K32" s="18">
        <v>342000</v>
      </c>
      <c r="L32" s="1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" x14ac:dyDescent="0.35">
      <c r="A33" s="127"/>
      <c r="B33" s="128">
        <f>SUM(B18:B32)</f>
        <v>999600</v>
      </c>
      <c r="C33" s="129"/>
      <c r="D33" s="128">
        <f>SUM(D18:D32)</f>
        <v>166000</v>
      </c>
      <c r="E33" s="129"/>
      <c r="F33" s="128">
        <f>SUM(F18:F32)</f>
        <v>28000</v>
      </c>
      <c r="G33" s="128">
        <f>SUM(G18:G32)</f>
        <v>1137600</v>
      </c>
      <c r="H33" s="128">
        <f t="shared" ref="H33:L33" si="13">SUM(H18:H32)</f>
        <v>34237</v>
      </c>
      <c r="I33" s="128">
        <f>SUM(I18:I32)</f>
        <v>1103363</v>
      </c>
      <c r="J33" s="128">
        <f>SUM(J18:J32)</f>
        <v>316940</v>
      </c>
      <c r="K33" s="128">
        <f t="shared" si="13"/>
        <v>736423</v>
      </c>
      <c r="L33" s="128">
        <f t="shared" si="13"/>
        <v>50000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" x14ac:dyDescent="0.35">
      <c r="A34" s="28" t="s">
        <v>268</v>
      </c>
      <c r="B34" s="18"/>
      <c r="C34" s="47"/>
      <c r="D34" s="18"/>
      <c r="E34" s="47"/>
      <c r="F34" s="18"/>
      <c r="G34" s="18"/>
      <c r="H34" s="18"/>
      <c r="I34" s="18"/>
      <c r="J34" s="18"/>
      <c r="K34" s="18"/>
      <c r="L34" s="1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" x14ac:dyDescent="0.35">
      <c r="A35" s="16" t="s">
        <v>270</v>
      </c>
      <c r="B35" s="18">
        <v>10000</v>
      </c>
      <c r="C35" s="47"/>
      <c r="D35" s="18"/>
      <c r="E35" s="60"/>
      <c r="F35" s="18"/>
      <c r="G35" s="18">
        <f t="shared" ref="G35:G40" si="14">B35+D35-F35</f>
        <v>10000</v>
      </c>
      <c r="H35" s="18">
        <f t="shared" ref="H35:H40" si="15">G35-I35</f>
        <v>5820</v>
      </c>
      <c r="I35" s="18">
        <f>SUM(J35:L35)</f>
        <v>4180</v>
      </c>
      <c r="J35" s="18">
        <v>4180</v>
      </c>
      <c r="K35" s="18"/>
      <c r="L35" s="1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" x14ac:dyDescent="0.35">
      <c r="A36" s="16" t="s">
        <v>275</v>
      </c>
      <c r="B36" s="18">
        <v>15000</v>
      </c>
      <c r="C36" s="47"/>
      <c r="D36" s="18"/>
      <c r="E36" s="47"/>
      <c r="F36" s="18"/>
      <c r="G36" s="18">
        <f t="shared" si="14"/>
        <v>15000</v>
      </c>
      <c r="H36" s="18">
        <f t="shared" si="15"/>
        <v>11430</v>
      </c>
      <c r="I36" s="18">
        <f t="shared" ref="I36:I40" si="16">SUM(J36:L36)</f>
        <v>3570</v>
      </c>
      <c r="J36" s="18"/>
      <c r="K36" s="18">
        <v>3570</v>
      </c>
      <c r="L36" s="1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" x14ac:dyDescent="0.35">
      <c r="A37" s="16" t="s">
        <v>277</v>
      </c>
      <c r="B37" s="18"/>
      <c r="C37" s="47"/>
      <c r="D37" s="18"/>
      <c r="E37" s="47"/>
      <c r="F37" s="18"/>
      <c r="G37" s="18">
        <f t="shared" si="14"/>
        <v>0</v>
      </c>
      <c r="H37" s="18">
        <f t="shared" si="15"/>
        <v>0</v>
      </c>
      <c r="I37" s="18">
        <f t="shared" si="16"/>
        <v>0</v>
      </c>
      <c r="J37" s="18"/>
      <c r="K37" s="18"/>
      <c r="L37" s="1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" x14ac:dyDescent="0.35">
      <c r="A38" s="16" t="s">
        <v>92</v>
      </c>
      <c r="B38" s="18">
        <v>74000</v>
      </c>
      <c r="C38" s="47"/>
      <c r="D38" s="18"/>
      <c r="E38" s="47"/>
      <c r="F38" s="18"/>
      <c r="G38" s="18">
        <f t="shared" si="14"/>
        <v>74000</v>
      </c>
      <c r="H38" s="18">
        <f t="shared" si="15"/>
        <v>1000</v>
      </c>
      <c r="I38" s="18">
        <f t="shared" si="16"/>
        <v>73000</v>
      </c>
      <c r="J38" s="18"/>
      <c r="K38" s="18"/>
      <c r="L38" s="18">
        <v>73000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" x14ac:dyDescent="0.35">
      <c r="A39" s="16" t="s">
        <v>93</v>
      </c>
      <c r="B39" s="18">
        <v>235200</v>
      </c>
      <c r="C39" s="47"/>
      <c r="D39" s="18"/>
      <c r="E39" s="47"/>
      <c r="F39" s="18"/>
      <c r="G39" s="18">
        <f t="shared" si="14"/>
        <v>235200</v>
      </c>
      <c r="H39" s="18">
        <f t="shared" si="15"/>
        <v>5246.3999999999942</v>
      </c>
      <c r="I39" s="18">
        <f t="shared" si="16"/>
        <v>229953.6</v>
      </c>
      <c r="J39" s="18"/>
      <c r="K39" s="18">
        <v>229953.6</v>
      </c>
      <c r="L39" s="1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" x14ac:dyDescent="0.35">
      <c r="A40" s="16" t="s">
        <v>94</v>
      </c>
      <c r="B40" s="18">
        <v>505960</v>
      </c>
      <c r="C40" s="47"/>
      <c r="D40" s="18"/>
      <c r="E40" s="47"/>
      <c r="F40" s="18"/>
      <c r="G40" s="18">
        <f t="shared" si="14"/>
        <v>505960</v>
      </c>
      <c r="H40" s="18">
        <f t="shared" si="15"/>
        <v>14749.119999999995</v>
      </c>
      <c r="I40" s="18">
        <f t="shared" si="16"/>
        <v>491210.88</v>
      </c>
      <c r="J40" s="18"/>
      <c r="K40" s="18">
        <v>491210.88</v>
      </c>
      <c r="L40" s="1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" x14ac:dyDescent="0.35">
      <c r="A41" s="127"/>
      <c r="B41" s="128">
        <f>SUM(B35:B40)</f>
        <v>840160</v>
      </c>
      <c r="C41" s="129"/>
      <c r="D41" s="128">
        <f>SUM(D35:D40)</f>
        <v>0</v>
      </c>
      <c r="E41" s="129"/>
      <c r="F41" s="128">
        <f>SUM(F35:F40)</f>
        <v>0</v>
      </c>
      <c r="G41" s="128">
        <f>SUM(G35:G40)</f>
        <v>840160</v>
      </c>
      <c r="H41" s="128">
        <f>SUM(H35:H40)</f>
        <v>38245.51999999999</v>
      </c>
      <c r="I41" s="128">
        <f>SUM(I35:I40)</f>
        <v>801914.48</v>
      </c>
      <c r="J41" s="128">
        <f t="shared" ref="J41:L41" si="17">SUM(J35:J40)</f>
        <v>4180</v>
      </c>
      <c r="K41" s="128">
        <f t="shared" si="17"/>
        <v>724734.48</v>
      </c>
      <c r="L41" s="128">
        <f t="shared" si="17"/>
        <v>73000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" x14ac:dyDescent="0.35">
      <c r="A42" s="28" t="s">
        <v>256</v>
      </c>
      <c r="B42" s="18"/>
      <c r="C42" s="47"/>
      <c r="D42" s="18"/>
      <c r="E42" s="47"/>
      <c r="F42" s="18"/>
      <c r="G42" s="18"/>
      <c r="H42" s="18"/>
      <c r="I42" s="18"/>
      <c r="J42" s="18"/>
      <c r="K42" s="18"/>
      <c r="L42" s="1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" x14ac:dyDescent="0.35">
      <c r="A43" s="16" t="s">
        <v>65</v>
      </c>
      <c r="B43" s="18">
        <v>5000</v>
      </c>
      <c r="C43" s="47"/>
      <c r="D43" s="18"/>
      <c r="E43" s="47"/>
      <c r="F43" s="18"/>
      <c r="G43" s="18">
        <f t="shared" ref="G43:G45" si="18">B43+D43-F43</f>
        <v>5000</v>
      </c>
      <c r="H43" s="18">
        <f t="shared" ref="H43:H45" si="19">G43-I43</f>
        <v>3661.4300000000003</v>
      </c>
      <c r="I43" s="18">
        <f>SUM(J43:L43)</f>
        <v>1338.57</v>
      </c>
      <c r="J43" s="18"/>
      <c r="K43" s="18">
        <v>1338.57</v>
      </c>
      <c r="L43" s="1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" x14ac:dyDescent="0.35">
      <c r="A44" s="16" t="s">
        <v>66</v>
      </c>
      <c r="B44" s="18">
        <v>8000</v>
      </c>
      <c r="C44" s="47"/>
      <c r="D44" s="18"/>
      <c r="E44" s="47"/>
      <c r="F44" s="18"/>
      <c r="G44" s="18">
        <f t="shared" si="18"/>
        <v>8000</v>
      </c>
      <c r="H44" s="18">
        <f t="shared" si="19"/>
        <v>424.39999999999964</v>
      </c>
      <c r="I44" s="18">
        <f>SUM(J44:L44)</f>
        <v>7575.6</v>
      </c>
      <c r="J44" s="18"/>
      <c r="K44" s="18">
        <v>7575.6</v>
      </c>
      <c r="L44" s="1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" x14ac:dyDescent="0.35">
      <c r="A45" s="16" t="s">
        <v>20</v>
      </c>
      <c r="B45" s="18">
        <v>25000</v>
      </c>
      <c r="C45" s="47" t="s">
        <v>372</v>
      </c>
      <c r="D45" s="18">
        <v>5000</v>
      </c>
      <c r="E45" s="47"/>
      <c r="F45" s="18"/>
      <c r="G45" s="18">
        <f t="shared" si="18"/>
        <v>30000</v>
      </c>
      <c r="H45" s="18">
        <f t="shared" si="19"/>
        <v>1399.6800000000003</v>
      </c>
      <c r="I45" s="18">
        <f>SUM(J45:L45)</f>
        <v>28600.32</v>
      </c>
      <c r="J45" s="18"/>
      <c r="K45" s="18">
        <v>28600.32</v>
      </c>
      <c r="L45" s="1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" x14ac:dyDescent="0.35">
      <c r="A46" s="127"/>
      <c r="B46" s="128">
        <f>SUM(B43:B45)</f>
        <v>38000</v>
      </c>
      <c r="C46" s="129"/>
      <c r="D46" s="128">
        <f>SUM(D43:D45)</f>
        <v>5000</v>
      </c>
      <c r="E46" s="129"/>
      <c r="F46" s="128">
        <f>SUM(F43:F45)</f>
        <v>0</v>
      </c>
      <c r="G46" s="128">
        <f>SUM(G43:G45)</f>
        <v>43000</v>
      </c>
      <c r="H46" s="128">
        <f>SUM(H43:H45)</f>
        <v>5485.51</v>
      </c>
      <c r="I46" s="128">
        <f>SUM(I43:I45)</f>
        <v>37514.49</v>
      </c>
      <c r="J46" s="128">
        <f t="shared" ref="J46:L46" si="20">SUM(J43:J45)</f>
        <v>0</v>
      </c>
      <c r="K46" s="128">
        <f t="shared" si="20"/>
        <v>37514.49</v>
      </c>
      <c r="L46" s="128">
        <f t="shared" si="20"/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" x14ac:dyDescent="0.35">
      <c r="A47" s="28" t="s">
        <v>266</v>
      </c>
      <c r="B47" s="18"/>
      <c r="C47" s="47"/>
      <c r="D47" s="18"/>
      <c r="E47" s="47"/>
      <c r="F47" s="18"/>
      <c r="G47" s="18"/>
      <c r="H47" s="18"/>
      <c r="I47" s="18"/>
      <c r="J47" s="18"/>
      <c r="K47" s="18"/>
      <c r="L47" s="1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" x14ac:dyDescent="0.35">
      <c r="A48" s="46" t="s">
        <v>209</v>
      </c>
      <c r="B48" s="18"/>
      <c r="C48" s="47"/>
      <c r="D48" s="18"/>
      <c r="E48" s="47"/>
      <c r="F48" s="18"/>
      <c r="G48" s="18"/>
      <c r="H48" s="18"/>
      <c r="I48" s="18"/>
      <c r="J48" s="18"/>
      <c r="K48" s="18"/>
      <c r="L48" s="1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" x14ac:dyDescent="0.35">
      <c r="A49" s="16" t="s">
        <v>210</v>
      </c>
      <c r="B49" s="18">
        <v>1112000</v>
      </c>
      <c r="C49" s="47" t="s">
        <v>351</v>
      </c>
      <c r="D49" s="18">
        <v>40000</v>
      </c>
      <c r="E49" s="47"/>
      <c r="F49" s="18"/>
      <c r="G49" s="18">
        <f t="shared" ref="G49:G52" si="21">B49+D49-F49</f>
        <v>1152000</v>
      </c>
      <c r="H49" s="18">
        <f t="shared" ref="H49:H52" si="22">G49-I49</f>
        <v>10000</v>
      </c>
      <c r="I49" s="18">
        <f>SUM(J49:L49)</f>
        <v>1142000</v>
      </c>
      <c r="J49" s="18"/>
      <c r="K49" s="18">
        <v>1142000</v>
      </c>
      <c r="L49" s="1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" x14ac:dyDescent="0.35">
      <c r="A50" s="20" t="s">
        <v>408</v>
      </c>
      <c r="B50" s="21">
        <v>100000</v>
      </c>
      <c r="C50" s="50"/>
      <c r="D50" s="21"/>
      <c r="E50" s="96" t="s">
        <v>409</v>
      </c>
      <c r="F50" s="21">
        <f>16000+40000+44000</f>
        <v>100000</v>
      </c>
      <c r="G50" s="18">
        <f t="shared" si="21"/>
        <v>0</v>
      </c>
      <c r="H50" s="18">
        <f t="shared" si="22"/>
        <v>0</v>
      </c>
      <c r="I50" s="18">
        <f>SUM(J50:L50)</f>
        <v>0</v>
      </c>
      <c r="J50" s="21"/>
      <c r="K50" s="21" t="s">
        <v>222</v>
      </c>
      <c r="L50" s="2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" x14ac:dyDescent="0.35">
      <c r="A51" s="20" t="s">
        <v>333</v>
      </c>
      <c r="B51" s="21"/>
      <c r="C51" s="50" t="s">
        <v>220</v>
      </c>
      <c r="D51" s="21">
        <v>5000</v>
      </c>
      <c r="E51" s="50"/>
      <c r="F51" s="21"/>
      <c r="G51" s="18">
        <f t="shared" si="21"/>
        <v>5000</v>
      </c>
      <c r="H51" s="18">
        <f t="shared" si="22"/>
        <v>0</v>
      </c>
      <c r="I51" s="18">
        <f>SUM(J51:L51)</f>
        <v>5000</v>
      </c>
      <c r="J51" s="21"/>
      <c r="K51" s="21">
        <v>5000</v>
      </c>
      <c r="L51" s="2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" x14ac:dyDescent="0.35">
      <c r="A52" s="20" t="s">
        <v>334</v>
      </c>
      <c r="B52" s="21"/>
      <c r="C52" s="50" t="s">
        <v>220</v>
      </c>
      <c r="D52" s="21">
        <v>5000</v>
      </c>
      <c r="E52" s="50"/>
      <c r="F52" s="21"/>
      <c r="G52" s="18">
        <f t="shared" si="21"/>
        <v>5000</v>
      </c>
      <c r="H52" s="18">
        <f t="shared" si="22"/>
        <v>0</v>
      </c>
      <c r="I52" s="18">
        <f>SUM(J52:L52)</f>
        <v>5000</v>
      </c>
      <c r="J52" s="21"/>
      <c r="K52" s="21">
        <v>5000</v>
      </c>
      <c r="L52" s="2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" x14ac:dyDescent="0.35">
      <c r="A53" s="127"/>
      <c r="B53" s="128">
        <f>SUM(B49:B50)</f>
        <v>1212000</v>
      </c>
      <c r="C53" s="129"/>
      <c r="D53" s="128">
        <f>SUM(D49:D52)</f>
        <v>50000</v>
      </c>
      <c r="E53" s="129"/>
      <c r="F53" s="128">
        <f>SUM(F49:F52)</f>
        <v>100000</v>
      </c>
      <c r="G53" s="128">
        <f>SUM(G49:G52)</f>
        <v>1162000</v>
      </c>
      <c r="H53" s="128">
        <f>SUM(H49:H52)</f>
        <v>10000</v>
      </c>
      <c r="I53" s="128">
        <f t="shared" ref="I53:L53" si="23">SUM(I49:I52)</f>
        <v>1152000</v>
      </c>
      <c r="J53" s="128">
        <f t="shared" si="23"/>
        <v>0</v>
      </c>
      <c r="K53" s="128">
        <f>SUM(K49:K52)</f>
        <v>1152000</v>
      </c>
      <c r="L53" s="128">
        <f t="shared" si="23"/>
        <v>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" x14ac:dyDescent="0.35">
      <c r="A54" s="23"/>
      <c r="B54" s="39"/>
      <c r="C54" s="52"/>
      <c r="D54" s="41"/>
      <c r="E54" s="52"/>
      <c r="F54" s="41"/>
      <c r="G54" s="42" t="s">
        <v>2</v>
      </c>
      <c r="H54" s="42" t="s">
        <v>6</v>
      </c>
      <c r="I54" s="42" t="s">
        <v>7</v>
      </c>
      <c r="J54" s="182" t="s">
        <v>8</v>
      </c>
      <c r="K54" s="183"/>
      <c r="L54" s="184"/>
      <c r="M54" s="1">
        <v>13</v>
      </c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" x14ac:dyDescent="0.35">
      <c r="A55" s="24" t="s">
        <v>11</v>
      </c>
      <c r="B55" s="35" t="s">
        <v>2</v>
      </c>
      <c r="C55" s="53"/>
      <c r="D55" s="36" t="s">
        <v>3</v>
      </c>
      <c r="E55" s="53"/>
      <c r="F55" s="36" t="s">
        <v>4</v>
      </c>
      <c r="G55" s="35" t="s">
        <v>5</v>
      </c>
      <c r="H55" s="35" t="s">
        <v>2</v>
      </c>
      <c r="I55" s="44"/>
      <c r="J55" s="45" t="s">
        <v>9</v>
      </c>
      <c r="K55" s="45" t="s">
        <v>78</v>
      </c>
      <c r="L55" s="45" t="s">
        <v>79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" x14ac:dyDescent="0.35">
      <c r="A56" s="51" t="s">
        <v>226</v>
      </c>
      <c r="B56" s="21"/>
      <c r="C56" s="50"/>
      <c r="D56" s="21"/>
      <c r="E56" s="50"/>
      <c r="F56" s="21"/>
      <c r="G56" s="21"/>
      <c r="H56" s="21"/>
      <c r="I56" s="21"/>
      <c r="J56" s="21"/>
      <c r="K56" s="21"/>
      <c r="L56" s="2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" x14ac:dyDescent="0.35">
      <c r="A57" s="20" t="s">
        <v>271</v>
      </c>
      <c r="B57" s="21">
        <v>5000</v>
      </c>
      <c r="C57" s="50"/>
      <c r="D57" s="21"/>
      <c r="E57" s="50"/>
      <c r="F57" s="21"/>
      <c r="G57" s="18">
        <f t="shared" ref="G57:G62" si="24">B57+D57-F57</f>
        <v>5000</v>
      </c>
      <c r="H57" s="18">
        <f t="shared" ref="H57:H62" si="25">G57-I57</f>
        <v>900</v>
      </c>
      <c r="I57" s="18">
        <f>SUM(J57:L57)</f>
        <v>4100</v>
      </c>
      <c r="J57" s="21">
        <v>4100</v>
      </c>
      <c r="K57" s="21"/>
      <c r="L57" s="2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" x14ac:dyDescent="0.35">
      <c r="A58" s="20" t="s">
        <v>387</v>
      </c>
      <c r="B58" s="21"/>
      <c r="C58" s="50" t="s">
        <v>381</v>
      </c>
      <c r="D58" s="21">
        <v>15000</v>
      </c>
      <c r="E58" s="50"/>
      <c r="F58" s="21"/>
      <c r="G58" s="18">
        <f t="shared" si="24"/>
        <v>15000</v>
      </c>
      <c r="H58" s="18">
        <f t="shared" si="25"/>
        <v>1510</v>
      </c>
      <c r="I58" s="18">
        <f>SUM(J58:L58)</f>
        <v>13490</v>
      </c>
      <c r="J58" s="21"/>
      <c r="K58" s="21">
        <v>13490</v>
      </c>
      <c r="L58" s="2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" x14ac:dyDescent="0.35">
      <c r="A59" s="20" t="s">
        <v>388</v>
      </c>
      <c r="B59" s="21"/>
      <c r="C59" s="50" t="s">
        <v>381</v>
      </c>
      <c r="D59" s="21">
        <v>25000</v>
      </c>
      <c r="E59" s="50"/>
      <c r="F59" s="21"/>
      <c r="G59" s="18">
        <f t="shared" si="24"/>
        <v>25000</v>
      </c>
      <c r="H59" s="18">
        <f t="shared" si="25"/>
        <v>0</v>
      </c>
      <c r="I59" s="18">
        <f t="shared" ref="I59:I62" si="26">SUM(J59:L59)</f>
        <v>25000</v>
      </c>
      <c r="J59" s="21"/>
      <c r="K59" s="21">
        <v>25000</v>
      </c>
      <c r="L59" s="2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" x14ac:dyDescent="0.35">
      <c r="A60" s="20" t="s">
        <v>389</v>
      </c>
      <c r="B60" s="21"/>
      <c r="C60" s="50" t="s">
        <v>381</v>
      </c>
      <c r="D60" s="21">
        <v>56000</v>
      </c>
      <c r="E60" s="50"/>
      <c r="F60" s="21"/>
      <c r="G60" s="18">
        <f t="shared" si="24"/>
        <v>56000</v>
      </c>
      <c r="H60" s="18">
        <f t="shared" si="25"/>
        <v>400</v>
      </c>
      <c r="I60" s="18">
        <f t="shared" si="26"/>
        <v>55600</v>
      </c>
      <c r="J60" s="21"/>
      <c r="K60" s="21">
        <v>55600</v>
      </c>
      <c r="L60" s="2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" x14ac:dyDescent="0.35">
      <c r="A61" s="20" t="s">
        <v>390</v>
      </c>
      <c r="B61" s="21"/>
      <c r="C61" s="50" t="s">
        <v>381</v>
      </c>
      <c r="D61" s="21">
        <v>10000</v>
      </c>
      <c r="E61" s="50"/>
      <c r="F61" s="21"/>
      <c r="G61" s="18">
        <f t="shared" si="24"/>
        <v>10000</v>
      </c>
      <c r="H61" s="18">
        <f t="shared" si="25"/>
        <v>0</v>
      </c>
      <c r="I61" s="18">
        <f t="shared" si="26"/>
        <v>10000</v>
      </c>
      <c r="J61" s="21"/>
      <c r="K61" s="21">
        <v>10000</v>
      </c>
      <c r="L61" s="2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" x14ac:dyDescent="0.35">
      <c r="A62" s="20" t="s">
        <v>391</v>
      </c>
      <c r="B62" s="21"/>
      <c r="C62" s="50" t="s">
        <v>381</v>
      </c>
      <c r="D62" s="21">
        <v>5000</v>
      </c>
      <c r="E62" s="50"/>
      <c r="F62" s="21"/>
      <c r="G62" s="18">
        <f t="shared" si="24"/>
        <v>5000</v>
      </c>
      <c r="H62" s="18">
        <f t="shared" si="25"/>
        <v>0</v>
      </c>
      <c r="I62" s="18">
        <f t="shared" si="26"/>
        <v>5000</v>
      </c>
      <c r="J62" s="21"/>
      <c r="K62" s="21">
        <v>5000</v>
      </c>
      <c r="L62" s="2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" x14ac:dyDescent="0.35">
      <c r="A63" s="127"/>
      <c r="B63" s="128">
        <f>SUM(B57)</f>
        <v>5000</v>
      </c>
      <c r="C63" s="129"/>
      <c r="D63" s="128">
        <f>SUM(D57:D62)</f>
        <v>111000</v>
      </c>
      <c r="E63" s="129"/>
      <c r="F63" s="128">
        <f>SUM(F57:F62)</f>
        <v>0</v>
      </c>
      <c r="G63" s="128">
        <f>SUM(G57:G62)</f>
        <v>116000</v>
      </c>
      <c r="H63" s="128">
        <f>SUM(H57:H62)</f>
        <v>2810</v>
      </c>
      <c r="I63" s="128">
        <f>SUM(I57:I62)</f>
        <v>113190</v>
      </c>
      <c r="J63" s="128">
        <f t="shared" ref="J63:L63" si="27">SUM(J57:J62)</f>
        <v>4100</v>
      </c>
      <c r="K63" s="128">
        <f t="shared" si="27"/>
        <v>109090</v>
      </c>
      <c r="L63" s="128">
        <f t="shared" si="27"/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" x14ac:dyDescent="0.35">
      <c r="A64" s="51" t="s">
        <v>262</v>
      </c>
      <c r="B64" s="21"/>
      <c r="C64" s="50"/>
      <c r="D64" s="21"/>
      <c r="E64" s="50"/>
      <c r="F64" s="21"/>
      <c r="G64" s="21"/>
      <c r="H64" s="21"/>
      <c r="I64" s="21"/>
      <c r="J64" s="21"/>
      <c r="K64" s="21"/>
      <c r="L64" s="2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" x14ac:dyDescent="0.35">
      <c r="A65" s="20" t="s">
        <v>348</v>
      </c>
      <c r="B65" s="21"/>
      <c r="C65" s="50" t="s">
        <v>347</v>
      </c>
      <c r="D65" s="21">
        <v>70000</v>
      </c>
      <c r="E65" s="50"/>
      <c r="F65" s="21"/>
      <c r="G65" s="18">
        <f>B65+D65-F65</f>
        <v>70000</v>
      </c>
      <c r="H65" s="18">
        <f>G65-I65</f>
        <v>0</v>
      </c>
      <c r="I65" s="18">
        <f>SUM(J65:L65)</f>
        <v>70000</v>
      </c>
      <c r="J65" s="21">
        <v>70000</v>
      </c>
      <c r="K65" s="21"/>
      <c r="L65" s="2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" x14ac:dyDescent="0.35">
      <c r="A66" s="127"/>
      <c r="B66" s="128"/>
      <c r="C66" s="129"/>
      <c r="D66" s="128">
        <f>SUM(D65)</f>
        <v>70000</v>
      </c>
      <c r="E66" s="129"/>
      <c r="F66" s="128">
        <f>SUM(F65)</f>
        <v>0</v>
      </c>
      <c r="G66" s="128">
        <f>SUM(G65)</f>
        <v>70000</v>
      </c>
      <c r="H66" s="128">
        <f>SUM(H65)</f>
        <v>0</v>
      </c>
      <c r="I66" s="128">
        <f>SUM(I65)</f>
        <v>70000</v>
      </c>
      <c r="J66" s="128">
        <f t="shared" ref="J66:L66" si="28">SUM(J65)</f>
        <v>70000</v>
      </c>
      <c r="K66" s="128">
        <f t="shared" si="28"/>
        <v>0</v>
      </c>
      <c r="L66" s="128">
        <f t="shared" si="28"/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" x14ac:dyDescent="0.35">
      <c r="A67" s="88" t="s">
        <v>99</v>
      </c>
      <c r="B67" s="89">
        <f>B11+B16+B33+B41+B46+B53+B63</f>
        <v>4942060</v>
      </c>
      <c r="C67" s="90"/>
      <c r="D67" s="89">
        <f>D11+D16+D33+D41+D46+D53+D63+D66</f>
        <v>414000</v>
      </c>
      <c r="E67" s="90"/>
      <c r="F67" s="89">
        <f>F11+F16+F33+F41+F46+F53+F63+F66</f>
        <v>1011360</v>
      </c>
      <c r="G67" s="89">
        <f>G11+G16+G33+G41+G46+G53+G63+G66</f>
        <v>4344700</v>
      </c>
      <c r="H67" s="89">
        <f t="shared" ref="H67:L67" si="29">H11+H16+H33+H41+H46+H53+H63+H66</f>
        <v>91583.029999999984</v>
      </c>
      <c r="I67" s="89">
        <f t="shared" si="29"/>
        <v>4253116.9700000007</v>
      </c>
      <c r="J67" s="89">
        <f t="shared" si="29"/>
        <v>1355355</v>
      </c>
      <c r="K67" s="89">
        <f t="shared" si="29"/>
        <v>2759761.9699999997</v>
      </c>
      <c r="L67" s="89">
        <f t="shared" si="29"/>
        <v>123000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" x14ac:dyDescent="0.35">
      <c r="A68" s="23"/>
      <c r="B68" s="39"/>
      <c r="C68" s="52"/>
      <c r="D68" s="41"/>
      <c r="E68" s="52"/>
      <c r="F68" s="41"/>
      <c r="G68" s="42"/>
      <c r="H68" s="42"/>
      <c r="I68" s="42"/>
      <c r="J68" s="182"/>
      <c r="K68" s="183"/>
      <c r="L68" s="18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" x14ac:dyDescent="0.35">
      <c r="A69" s="24"/>
      <c r="B69" s="35"/>
      <c r="C69" s="53"/>
      <c r="D69" s="36"/>
      <c r="E69" s="53"/>
      <c r="F69" s="36"/>
      <c r="G69" s="35"/>
      <c r="H69" s="35"/>
      <c r="I69" s="44"/>
      <c r="J69" s="45"/>
      <c r="K69" s="45"/>
      <c r="L69" s="4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" x14ac:dyDescent="0.35">
      <c r="A70" s="16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" x14ac:dyDescent="0.35">
      <c r="A71" s="16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" x14ac:dyDescent="0.35">
      <c r="A72" s="16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" x14ac:dyDescent="0.35">
      <c r="A73" s="16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" x14ac:dyDescent="0.35">
      <c r="A74" s="16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" x14ac:dyDescent="0.35">
      <c r="A75" s="16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" x14ac:dyDescent="0.35">
      <c r="A76" s="16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" x14ac:dyDescent="0.35">
      <c r="A77" s="16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" x14ac:dyDescent="0.35">
      <c r="A78" s="16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" x14ac:dyDescent="0.35">
      <c r="A79" s="16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" x14ac:dyDescent="0.35">
      <c r="A80" s="16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" x14ac:dyDescent="0.35">
      <c r="A81" s="16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" x14ac:dyDescent="0.35">
      <c r="A82" s="16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" x14ac:dyDescent="0.35">
      <c r="A83" s="16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" x14ac:dyDescent="0.35">
      <c r="A84" s="16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" x14ac:dyDescent="0.35">
      <c r="A85" s="16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" x14ac:dyDescent="0.35">
      <c r="A86" s="16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" x14ac:dyDescent="0.35">
      <c r="A87" s="16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" x14ac:dyDescent="0.35">
      <c r="A88" s="16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" x14ac:dyDescent="0.35">
      <c r="A89" s="23"/>
      <c r="B89" s="39"/>
      <c r="C89" s="40"/>
      <c r="D89" s="41"/>
      <c r="E89" s="40"/>
      <c r="F89" s="41"/>
      <c r="G89" s="42" t="s">
        <v>2</v>
      </c>
      <c r="H89" s="42" t="s">
        <v>6</v>
      </c>
      <c r="I89" s="42" t="s">
        <v>7</v>
      </c>
      <c r="J89" s="182" t="s">
        <v>8</v>
      </c>
      <c r="K89" s="183"/>
      <c r="L89" s="18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" x14ac:dyDescent="0.35">
      <c r="A90" s="24" t="s">
        <v>11</v>
      </c>
      <c r="B90" s="35" t="s">
        <v>2</v>
      </c>
      <c r="C90" s="43"/>
      <c r="D90" s="36" t="s">
        <v>3</v>
      </c>
      <c r="E90" s="43"/>
      <c r="F90" s="36" t="s">
        <v>4</v>
      </c>
      <c r="G90" s="35" t="s">
        <v>5</v>
      </c>
      <c r="H90" s="35" t="s">
        <v>2</v>
      </c>
      <c r="I90" s="44"/>
      <c r="J90" s="45" t="s">
        <v>9</v>
      </c>
      <c r="K90" s="45" t="s">
        <v>78</v>
      </c>
      <c r="L90" s="45" t="s">
        <v>79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" x14ac:dyDescent="0.35">
      <c r="A91" s="16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" x14ac:dyDescent="0.35">
      <c r="A92" s="16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" x14ac:dyDescent="0.35">
      <c r="A93" s="16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" x14ac:dyDescent="0.35">
      <c r="A94" s="16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" x14ac:dyDescent="0.35">
      <c r="A95" s="16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" x14ac:dyDescent="0.35">
      <c r="A96" s="16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" x14ac:dyDescent="0.35">
      <c r="A97" s="16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" x14ac:dyDescent="0.35">
      <c r="A98" s="16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" x14ac:dyDescent="0.35">
      <c r="A99" s="16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" x14ac:dyDescent="0.35">
      <c r="A100" s="16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" x14ac:dyDescent="0.35">
      <c r="A101" s="16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" x14ac:dyDescent="0.35">
      <c r="A102" s="16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" x14ac:dyDescent="0.35">
      <c r="A103" s="16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" x14ac:dyDescent="0.35">
      <c r="A104" s="16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" x14ac:dyDescent="0.35">
      <c r="A105" s="16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" x14ac:dyDescent="0.35">
      <c r="A106" s="16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" x14ac:dyDescent="0.35">
      <c r="A107" s="16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" x14ac:dyDescent="0.35">
      <c r="A108" s="16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" x14ac:dyDescent="0.35">
      <c r="A109" s="16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" x14ac:dyDescent="0.35">
      <c r="A110" s="16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" x14ac:dyDescent="0.35">
      <c r="A111" s="16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" x14ac:dyDescent="0.35">
      <c r="A112" s="16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" x14ac:dyDescent="0.35">
      <c r="A113" s="16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" x14ac:dyDescent="0.35">
      <c r="A114" s="16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" x14ac:dyDescent="0.35">
      <c r="A115" s="16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" x14ac:dyDescent="0.35">
      <c r="A116" s="16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" x14ac:dyDescent="0.35">
      <c r="A117" s="16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" x14ac:dyDescent="0.35">
      <c r="A118" s="16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" x14ac:dyDescent="0.3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" x14ac:dyDescent="0.3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" x14ac:dyDescent="0.3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" x14ac:dyDescent="0.3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" x14ac:dyDescent="0.3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" x14ac:dyDescent="0.3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" x14ac:dyDescent="0.3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" x14ac:dyDescent="0.3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" x14ac:dyDescent="0.3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" x14ac:dyDescent="0.3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" x14ac:dyDescent="0.3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" x14ac:dyDescent="0.3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" x14ac:dyDescent="0.3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" x14ac:dyDescent="0.3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" x14ac:dyDescent="0.3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" x14ac:dyDescent="0.3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" x14ac:dyDescent="0.3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" x14ac:dyDescent="0.3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" x14ac:dyDescent="0.3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" x14ac:dyDescent="0.3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" x14ac:dyDescent="0.3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" x14ac:dyDescent="0.3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" x14ac:dyDescent="0.3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" x14ac:dyDescent="0.3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" x14ac:dyDescent="0.3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" x14ac:dyDescent="0.3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" x14ac:dyDescent="0.3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" x14ac:dyDescent="0.3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" x14ac:dyDescent="0.3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" x14ac:dyDescent="0.3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" x14ac:dyDescent="0.3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" x14ac:dyDescent="0.3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" x14ac:dyDescent="0.3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" x14ac:dyDescent="0.3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" x14ac:dyDescent="0.3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" x14ac:dyDescent="0.3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" x14ac:dyDescent="0.3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" x14ac:dyDescent="0.3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" x14ac:dyDescent="0.3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" x14ac:dyDescent="0.3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" x14ac:dyDescent="0.3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" x14ac:dyDescent="0.3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" x14ac:dyDescent="0.3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" x14ac:dyDescent="0.3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" x14ac:dyDescent="0.3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" x14ac:dyDescent="0.3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" x14ac:dyDescent="0.3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" x14ac:dyDescent="0.3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" x14ac:dyDescent="0.3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" x14ac:dyDescent="0.3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" x14ac:dyDescent="0.3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" x14ac:dyDescent="0.3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" x14ac:dyDescent="0.3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" x14ac:dyDescent="0.3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" x14ac:dyDescent="0.3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" x14ac:dyDescent="0.3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" x14ac:dyDescent="0.3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" x14ac:dyDescent="0.3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" x14ac:dyDescent="0.3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" x14ac:dyDescent="0.3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" x14ac:dyDescent="0.3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" x14ac:dyDescent="0.3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" x14ac:dyDescent="0.3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" x14ac:dyDescent="0.3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" x14ac:dyDescent="0.3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" x14ac:dyDescent="0.3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" x14ac:dyDescent="0.3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" x14ac:dyDescent="0.3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" x14ac:dyDescent="0.3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" x14ac:dyDescent="0.3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" x14ac:dyDescent="0.3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" x14ac:dyDescent="0.3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" x14ac:dyDescent="0.3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" x14ac:dyDescent="0.3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" x14ac:dyDescent="0.3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" x14ac:dyDescent="0.3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" x14ac:dyDescent="0.3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" x14ac:dyDescent="0.3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" x14ac:dyDescent="0.3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" x14ac:dyDescent="0.3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" x14ac:dyDescent="0.3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" x14ac:dyDescent="0.3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" x14ac:dyDescent="0.3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" x14ac:dyDescent="0.3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" x14ac:dyDescent="0.3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" x14ac:dyDescent="0.3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" x14ac:dyDescent="0.3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" x14ac:dyDescent="0.3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" x14ac:dyDescent="0.3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" x14ac:dyDescent="0.3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" x14ac:dyDescent="0.3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" x14ac:dyDescent="0.3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" x14ac:dyDescent="0.3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" x14ac:dyDescent="0.3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" x14ac:dyDescent="0.3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" x14ac:dyDescent="0.3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" x14ac:dyDescent="0.3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" x14ac:dyDescent="0.3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" x14ac:dyDescent="0.3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" x14ac:dyDescent="0.3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" x14ac:dyDescent="0.3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" x14ac:dyDescent="0.3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" x14ac:dyDescent="0.3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" x14ac:dyDescent="0.3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" x14ac:dyDescent="0.3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" x14ac:dyDescent="0.3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" x14ac:dyDescent="0.3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" x14ac:dyDescent="0.3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" x14ac:dyDescent="0.3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" x14ac:dyDescent="0.3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" x14ac:dyDescent="0.3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" x14ac:dyDescent="0.3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" x14ac:dyDescent="0.3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" x14ac:dyDescent="0.3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" x14ac:dyDescent="0.3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" x14ac:dyDescent="0.3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" x14ac:dyDescent="0.3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" x14ac:dyDescent="0.3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" x14ac:dyDescent="0.3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" x14ac:dyDescent="0.3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" x14ac:dyDescent="0.3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" x14ac:dyDescent="0.3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" x14ac:dyDescent="0.3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" x14ac:dyDescent="0.3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" x14ac:dyDescent="0.3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" x14ac:dyDescent="0.3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" x14ac:dyDescent="0.3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" x14ac:dyDescent="0.3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" x14ac:dyDescent="0.3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" x14ac:dyDescent="0.3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" x14ac:dyDescent="0.3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" x14ac:dyDescent="0.3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" x14ac:dyDescent="0.3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" x14ac:dyDescent="0.3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" x14ac:dyDescent="0.3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" x14ac:dyDescent="0.3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" x14ac:dyDescent="0.3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" x14ac:dyDescent="0.3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" x14ac:dyDescent="0.3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" x14ac:dyDescent="0.3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" x14ac:dyDescent="0.3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" x14ac:dyDescent="0.3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" x14ac:dyDescent="0.3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" x14ac:dyDescent="0.3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" x14ac:dyDescent="0.3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" x14ac:dyDescent="0.3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" x14ac:dyDescent="0.3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" x14ac:dyDescent="0.3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" x14ac:dyDescent="0.3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" x14ac:dyDescent="0.3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" x14ac:dyDescent="0.3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" x14ac:dyDescent="0.3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" x14ac:dyDescent="0.3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" x14ac:dyDescent="0.3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" x14ac:dyDescent="0.3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" x14ac:dyDescent="0.3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" x14ac:dyDescent="0.3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" x14ac:dyDescent="0.3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" x14ac:dyDescent="0.3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" x14ac:dyDescent="0.3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" x14ac:dyDescent="0.3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" x14ac:dyDescent="0.3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" x14ac:dyDescent="0.3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" x14ac:dyDescent="0.3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" x14ac:dyDescent="0.3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" x14ac:dyDescent="0.3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" x14ac:dyDescent="0.3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" x14ac:dyDescent="0.3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" x14ac:dyDescent="0.3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" x14ac:dyDescent="0.3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" x14ac:dyDescent="0.3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" x14ac:dyDescent="0.35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" x14ac:dyDescent="0.35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" x14ac:dyDescent="0.35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" x14ac:dyDescent="0.35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" x14ac:dyDescent="0.35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" x14ac:dyDescent="0.35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" x14ac:dyDescent="0.35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" x14ac:dyDescent="0.35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" x14ac:dyDescent="0.35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" x14ac:dyDescent="0.35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" x14ac:dyDescent="0.35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" x14ac:dyDescent="0.35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" x14ac:dyDescent="0.35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" x14ac:dyDescent="0.35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" x14ac:dyDescent="0.35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" x14ac:dyDescent="0.3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" x14ac:dyDescent="0.35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" x14ac:dyDescent="0.35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" x14ac:dyDescent="0.35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" x14ac:dyDescent="0.35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" x14ac:dyDescent="0.35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" x14ac:dyDescent="0.35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" x14ac:dyDescent="0.35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" x14ac:dyDescent="0.35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" x14ac:dyDescent="0.35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" x14ac:dyDescent="0.35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" x14ac:dyDescent="0.35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" x14ac:dyDescent="0.35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" x14ac:dyDescent="0.35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" x14ac:dyDescent="0.35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" x14ac:dyDescent="0.35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" x14ac:dyDescent="0.35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" x14ac:dyDescent="0.35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" x14ac:dyDescent="0.35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" x14ac:dyDescent="0.35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" x14ac:dyDescent="0.35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" x14ac:dyDescent="0.35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" x14ac:dyDescent="0.35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" x14ac:dyDescent="0.35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" x14ac:dyDescent="0.35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" x14ac:dyDescent="0.35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" x14ac:dyDescent="0.35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" x14ac:dyDescent="0.35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" x14ac:dyDescent="0.35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" x14ac:dyDescent="0.35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" x14ac:dyDescent="0.35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" x14ac:dyDescent="0.35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" x14ac:dyDescent="0.3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" x14ac:dyDescent="0.35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" x14ac:dyDescent="0.35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" x14ac:dyDescent="0.35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" x14ac:dyDescent="0.35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" x14ac:dyDescent="0.35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" x14ac:dyDescent="0.35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" x14ac:dyDescent="0.35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" x14ac:dyDescent="0.35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" x14ac:dyDescent="0.35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" x14ac:dyDescent="0.35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" x14ac:dyDescent="0.35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" x14ac:dyDescent="0.35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" x14ac:dyDescent="0.35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" x14ac:dyDescent="0.35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" x14ac:dyDescent="0.35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" x14ac:dyDescent="0.3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" x14ac:dyDescent="0.35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" x14ac:dyDescent="0.35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</sheetData>
  <mergeCells count="8">
    <mergeCell ref="J26:L26"/>
    <mergeCell ref="J68:L68"/>
    <mergeCell ref="J89:L89"/>
    <mergeCell ref="A1:K1"/>
    <mergeCell ref="A2:K2"/>
    <mergeCell ref="A3:K3"/>
    <mergeCell ref="J4:L4"/>
    <mergeCell ref="J54:L54"/>
  </mergeCells>
  <pageMargins left="0.59" right="0.19685039370078741" top="0.31496062992125984" bottom="0.23622047244094491" header="0.31496062992125984" footer="0.23622047244094491"/>
  <pageSetup paperSize="5" scale="84" orientation="landscape" horizontalDpi="4294967293" r:id="rId1"/>
  <rowBreaks count="3" manualBreakCount="3">
    <brk id="25" max="12" man="1"/>
    <brk id="53" max="12" man="1"/>
    <brk id="67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4"/>
  <sheetViews>
    <sheetView view="pageBreakPreview" zoomScaleSheetLayoutView="100" workbookViewId="0">
      <selection activeCell="F8" sqref="F8"/>
    </sheetView>
  </sheetViews>
  <sheetFormatPr defaultRowHeight="13.8" x14ac:dyDescent="0.25"/>
  <cols>
    <col min="1" max="1" width="55.3984375" customWidth="1"/>
    <col min="2" max="2" width="12.69921875" customWidth="1"/>
    <col min="3" max="3" width="2.19921875" customWidth="1"/>
    <col min="4" max="4" width="11.59765625" customWidth="1"/>
    <col min="5" max="5" width="3" customWidth="1"/>
    <col min="6" max="6" width="11.19921875" customWidth="1"/>
    <col min="7" max="7" width="11.5" customWidth="1"/>
    <col min="8" max="8" width="12.59765625" customWidth="1"/>
    <col min="9" max="9" width="12.19921875" customWidth="1"/>
    <col min="10" max="10" width="11.8984375" customWidth="1"/>
    <col min="11" max="11" width="11.59765625" customWidth="1"/>
    <col min="12" max="12" width="2.8984375" customWidth="1"/>
  </cols>
  <sheetData>
    <row r="1" spans="1:23" ht="18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x14ac:dyDescent="0.35">
      <c r="A2" s="174" t="s">
        <v>43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x14ac:dyDescent="0.35">
      <c r="A3" s="174" t="s">
        <v>241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" x14ac:dyDescent="0.35">
      <c r="A4" s="6"/>
      <c r="B4" s="8"/>
      <c r="C4" s="3"/>
      <c r="D4" s="10"/>
      <c r="E4" s="3"/>
      <c r="F4" s="10"/>
      <c r="G4" s="12" t="s">
        <v>2</v>
      </c>
      <c r="H4" s="13" t="s">
        <v>6</v>
      </c>
      <c r="I4" s="12" t="s">
        <v>7</v>
      </c>
      <c r="J4" s="175" t="s">
        <v>8</v>
      </c>
      <c r="K4" s="17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" x14ac:dyDescent="0.35">
      <c r="A5" s="7" t="s">
        <v>11</v>
      </c>
      <c r="B5" s="9" t="s">
        <v>2</v>
      </c>
      <c r="C5" s="4"/>
      <c r="D5" s="11" t="s">
        <v>3</v>
      </c>
      <c r="E5" s="4"/>
      <c r="F5" s="11" t="s">
        <v>4</v>
      </c>
      <c r="G5" s="9" t="s">
        <v>5</v>
      </c>
      <c r="H5" s="9" t="s">
        <v>2</v>
      </c>
      <c r="I5" s="14"/>
      <c r="J5" s="15" t="s">
        <v>44</v>
      </c>
      <c r="K5" s="15" t="s">
        <v>45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" x14ac:dyDescent="0.35">
      <c r="A6" s="28" t="s">
        <v>278</v>
      </c>
      <c r="B6" s="18"/>
      <c r="C6" s="47"/>
      <c r="D6" s="18"/>
      <c r="E6" s="47"/>
      <c r="F6" s="18"/>
      <c r="G6" s="18"/>
      <c r="H6" s="18"/>
      <c r="I6" s="18"/>
      <c r="J6" s="18"/>
      <c r="K6" s="1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 x14ac:dyDescent="0.35">
      <c r="A7" s="16" t="s">
        <v>12</v>
      </c>
      <c r="B7" s="18">
        <v>374220</v>
      </c>
      <c r="C7" s="47"/>
      <c r="D7" s="18"/>
      <c r="E7" s="47" t="s">
        <v>380</v>
      </c>
      <c r="F7" s="18">
        <f>52000+76670</f>
        <v>128670</v>
      </c>
      <c r="G7" s="18">
        <f>B7+D7-F7</f>
        <v>245550</v>
      </c>
      <c r="H7" s="18">
        <f>G7-I7</f>
        <v>0</v>
      </c>
      <c r="I7" s="18">
        <f>J7</f>
        <v>245550</v>
      </c>
      <c r="J7" s="18">
        <v>245550</v>
      </c>
      <c r="K7" s="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x14ac:dyDescent="0.35">
      <c r="A8" s="16" t="s">
        <v>211</v>
      </c>
      <c r="B8" s="18">
        <v>102000</v>
      </c>
      <c r="C8" s="47"/>
      <c r="D8" s="18"/>
      <c r="E8" s="47" t="s">
        <v>381</v>
      </c>
      <c r="F8" s="18">
        <v>60000</v>
      </c>
      <c r="G8" s="18">
        <f t="shared" ref="G8:G9" si="0">B8+D8-F8</f>
        <v>42000</v>
      </c>
      <c r="H8" s="18">
        <f t="shared" ref="H8:H10" si="1">G8-I8</f>
        <v>0</v>
      </c>
      <c r="I8" s="18">
        <f>J8</f>
        <v>42000</v>
      </c>
      <c r="J8" s="18">
        <v>42000</v>
      </c>
      <c r="K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" x14ac:dyDescent="0.35">
      <c r="A9" s="16" t="s">
        <v>194</v>
      </c>
      <c r="B9" s="18">
        <v>633240</v>
      </c>
      <c r="C9" s="47"/>
      <c r="D9" s="18"/>
      <c r="E9" s="47" t="s">
        <v>403</v>
      </c>
      <c r="F9" s="18">
        <v>23700</v>
      </c>
      <c r="G9" s="18">
        <f t="shared" si="0"/>
        <v>609540</v>
      </c>
      <c r="H9" s="18">
        <f t="shared" si="1"/>
        <v>0</v>
      </c>
      <c r="I9" s="18">
        <f>J9</f>
        <v>609540</v>
      </c>
      <c r="J9" s="18">
        <v>609540</v>
      </c>
      <c r="K9" s="1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" x14ac:dyDescent="0.35">
      <c r="A10" s="16" t="s">
        <v>212</v>
      </c>
      <c r="B10" s="18">
        <v>410760</v>
      </c>
      <c r="C10" s="59"/>
      <c r="D10" s="18"/>
      <c r="E10" s="47" t="s">
        <v>381</v>
      </c>
      <c r="F10" s="18">
        <v>92670</v>
      </c>
      <c r="G10" s="18">
        <f>B10+D10-F10</f>
        <v>318090</v>
      </c>
      <c r="H10" s="18">
        <f t="shared" si="1"/>
        <v>0</v>
      </c>
      <c r="I10" s="18">
        <f>J10</f>
        <v>318090</v>
      </c>
      <c r="J10" s="18">
        <v>318090</v>
      </c>
      <c r="K10" s="1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" x14ac:dyDescent="0.35">
      <c r="A11" s="127"/>
      <c r="B11" s="128">
        <f>SUM(B7:B10)</f>
        <v>1520220</v>
      </c>
      <c r="C11" s="129"/>
      <c r="D11" s="128">
        <f>SUM(D7:D10)</f>
        <v>0</v>
      </c>
      <c r="E11" s="129"/>
      <c r="F11" s="128">
        <f t="shared" ref="F11:K11" si="2">SUM(F7:F10)</f>
        <v>305040</v>
      </c>
      <c r="G11" s="128">
        <f t="shared" si="2"/>
        <v>1215180</v>
      </c>
      <c r="H11" s="128">
        <f t="shared" si="2"/>
        <v>0</v>
      </c>
      <c r="I11" s="128">
        <f>SUM(I7:I10)</f>
        <v>1215180</v>
      </c>
      <c r="J11" s="128">
        <f t="shared" si="2"/>
        <v>1215180</v>
      </c>
      <c r="K11" s="128">
        <f t="shared" si="2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" x14ac:dyDescent="0.35">
      <c r="A12" s="28" t="s">
        <v>252</v>
      </c>
      <c r="B12" s="18"/>
      <c r="C12" s="47"/>
      <c r="D12" s="18"/>
      <c r="E12" s="47"/>
      <c r="F12" s="18"/>
      <c r="G12" s="18"/>
      <c r="H12" s="18"/>
      <c r="I12" s="18"/>
      <c r="J12" s="18"/>
      <c r="K12" s="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" x14ac:dyDescent="0.35">
      <c r="A13" s="16" t="s">
        <v>13</v>
      </c>
      <c r="B13" s="18">
        <v>10000</v>
      </c>
      <c r="C13" s="47"/>
      <c r="D13" s="18"/>
      <c r="E13" s="47" t="s">
        <v>403</v>
      </c>
      <c r="F13" s="18">
        <v>10000</v>
      </c>
      <c r="G13" s="18">
        <f t="shared" ref="G13:G15" si="3">B13+D13-F13</f>
        <v>0</v>
      </c>
      <c r="H13" s="18">
        <f>G13-I13</f>
        <v>0</v>
      </c>
      <c r="I13" s="18"/>
      <c r="J13" s="18"/>
      <c r="K13" s="1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" x14ac:dyDescent="0.35">
      <c r="A14" s="16" t="s">
        <v>14</v>
      </c>
      <c r="B14" s="18">
        <v>6000</v>
      </c>
      <c r="C14" s="47"/>
      <c r="D14" s="18"/>
      <c r="E14" s="47" t="s">
        <v>403</v>
      </c>
      <c r="F14" s="18">
        <v>3600</v>
      </c>
      <c r="G14" s="18">
        <f t="shared" si="3"/>
        <v>2400</v>
      </c>
      <c r="H14" s="18">
        <f>G14-I14</f>
        <v>50</v>
      </c>
      <c r="I14" s="18">
        <f>J14</f>
        <v>2350</v>
      </c>
      <c r="J14" s="18">
        <v>2350</v>
      </c>
      <c r="K14" s="1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" x14ac:dyDescent="0.35">
      <c r="A15" s="16" t="s">
        <v>17</v>
      </c>
      <c r="B15" s="18">
        <v>28800</v>
      </c>
      <c r="C15" s="47"/>
      <c r="D15" s="18"/>
      <c r="E15" s="47"/>
      <c r="F15" s="18"/>
      <c r="G15" s="18">
        <f t="shared" si="3"/>
        <v>28800</v>
      </c>
      <c r="H15" s="18">
        <f>G15-I15</f>
        <v>0</v>
      </c>
      <c r="I15" s="18">
        <f>J15</f>
        <v>28800</v>
      </c>
      <c r="J15" s="18">
        <v>28800</v>
      </c>
      <c r="K15" s="1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" x14ac:dyDescent="0.35">
      <c r="A16" s="127"/>
      <c r="B16" s="128">
        <f>SUM(B13:B15)</f>
        <v>44800</v>
      </c>
      <c r="C16" s="129"/>
      <c r="D16" s="128">
        <f>SUM(D13:D15)</f>
        <v>0</v>
      </c>
      <c r="E16" s="129"/>
      <c r="F16" s="128">
        <f>SUM(F13:F15)</f>
        <v>13600</v>
      </c>
      <c r="G16" s="128">
        <f>SUM(G13:G15)</f>
        <v>31200</v>
      </c>
      <c r="H16" s="128">
        <f>SUM(H13:H15)</f>
        <v>50</v>
      </c>
      <c r="I16" s="128">
        <f>SUM(I13:I15)</f>
        <v>31150</v>
      </c>
      <c r="J16" s="128">
        <f t="shared" ref="J16:K16" si="4">SUM(J13:J15)</f>
        <v>31150</v>
      </c>
      <c r="K16" s="128">
        <f t="shared" si="4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x14ac:dyDescent="0.35">
      <c r="A17" s="28" t="s">
        <v>115</v>
      </c>
      <c r="B17" s="18"/>
      <c r="C17" s="47"/>
      <c r="D17" s="18"/>
      <c r="E17" s="47"/>
      <c r="F17" s="18"/>
      <c r="G17" s="18"/>
      <c r="H17" s="18"/>
      <c r="I17" s="18"/>
      <c r="J17" s="18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x14ac:dyDescent="0.35">
      <c r="A18" s="16" t="s">
        <v>25</v>
      </c>
      <c r="B18" s="18">
        <v>2000</v>
      </c>
      <c r="C18" s="47"/>
      <c r="D18" s="18"/>
      <c r="E18" s="47"/>
      <c r="F18" s="18"/>
      <c r="G18" s="18">
        <f t="shared" ref="G18:G28" si="5">B18+D18-F18</f>
        <v>2000</v>
      </c>
      <c r="H18" s="18">
        <f>G18-I18</f>
        <v>2000</v>
      </c>
      <c r="I18" s="63"/>
      <c r="J18" s="63" t="s">
        <v>222</v>
      </c>
      <c r="K18" s="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" x14ac:dyDescent="0.35">
      <c r="A19" s="16" t="s">
        <v>298</v>
      </c>
      <c r="B19" s="18">
        <v>17000</v>
      </c>
      <c r="C19" s="98"/>
      <c r="D19" s="18"/>
      <c r="E19" s="47" t="s">
        <v>381</v>
      </c>
      <c r="F19" s="18">
        <v>17000</v>
      </c>
      <c r="G19" s="18">
        <f t="shared" si="5"/>
        <v>0</v>
      </c>
      <c r="H19" s="18">
        <f t="shared" ref="H19:H29" si="6">G19-I19</f>
        <v>0</v>
      </c>
      <c r="I19" s="63"/>
      <c r="J19" s="63" t="s">
        <v>222</v>
      </c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x14ac:dyDescent="0.35">
      <c r="A20" s="16" t="s">
        <v>243</v>
      </c>
      <c r="B20" s="18">
        <v>5000</v>
      </c>
      <c r="C20" s="47"/>
      <c r="D20" s="18"/>
      <c r="E20" s="47" t="s">
        <v>381</v>
      </c>
      <c r="F20" s="18">
        <v>5000</v>
      </c>
      <c r="G20" s="18">
        <f t="shared" si="5"/>
        <v>0</v>
      </c>
      <c r="H20" s="18">
        <f t="shared" si="6"/>
        <v>0</v>
      </c>
      <c r="I20" s="63"/>
      <c r="J20" s="63" t="s">
        <v>222</v>
      </c>
      <c r="K20" s="1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x14ac:dyDescent="0.35">
      <c r="A21" s="16" t="s">
        <v>51</v>
      </c>
      <c r="B21" s="18">
        <v>10000</v>
      </c>
      <c r="C21" s="47" t="s">
        <v>398</v>
      </c>
      <c r="D21" s="18">
        <v>4000</v>
      </c>
      <c r="E21" s="47"/>
      <c r="F21" s="18"/>
      <c r="G21" s="18">
        <f t="shared" si="5"/>
        <v>14000</v>
      </c>
      <c r="H21" s="18">
        <f>G21-I21</f>
        <v>3378</v>
      </c>
      <c r="I21" s="63">
        <f>J21</f>
        <v>10622</v>
      </c>
      <c r="J21" s="63">
        <v>10622</v>
      </c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x14ac:dyDescent="0.35">
      <c r="A22" s="16" t="s">
        <v>46</v>
      </c>
      <c r="B22" s="18">
        <v>60000</v>
      </c>
      <c r="C22" s="60"/>
      <c r="D22" s="18"/>
      <c r="E22" s="47" t="s">
        <v>380</v>
      </c>
      <c r="F22" s="18">
        <f>20000+3000</f>
        <v>23000</v>
      </c>
      <c r="G22" s="18">
        <f t="shared" si="5"/>
        <v>37000</v>
      </c>
      <c r="H22" s="18">
        <f>G22-I22</f>
        <v>6177</v>
      </c>
      <c r="I22" s="18">
        <f>J22</f>
        <v>30823</v>
      </c>
      <c r="J22" s="18">
        <v>30823</v>
      </c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x14ac:dyDescent="0.35">
      <c r="A23" s="16" t="s">
        <v>47</v>
      </c>
      <c r="B23" s="18">
        <v>5000</v>
      </c>
      <c r="C23" s="47"/>
      <c r="D23" s="18"/>
      <c r="E23" s="47" t="s">
        <v>221</v>
      </c>
      <c r="F23" s="18">
        <v>5000</v>
      </c>
      <c r="G23" s="18">
        <f t="shared" si="5"/>
        <v>0</v>
      </c>
      <c r="H23" s="18">
        <f t="shared" si="6"/>
        <v>0</v>
      </c>
      <c r="I23" s="63"/>
      <c r="J23" s="63" t="s">
        <v>222</v>
      </c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 x14ac:dyDescent="0.35">
      <c r="A24" s="16" t="s">
        <v>48</v>
      </c>
      <c r="B24" s="18">
        <v>5000</v>
      </c>
      <c r="C24" s="47"/>
      <c r="D24" s="18"/>
      <c r="E24" s="47" t="s">
        <v>221</v>
      </c>
      <c r="F24" s="18">
        <v>5000</v>
      </c>
      <c r="G24" s="18">
        <f t="shared" si="5"/>
        <v>0</v>
      </c>
      <c r="H24" s="18">
        <f t="shared" si="6"/>
        <v>0</v>
      </c>
      <c r="I24" s="63"/>
      <c r="J24" s="63" t="s">
        <v>222</v>
      </c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x14ac:dyDescent="0.35">
      <c r="A25" s="16" t="s">
        <v>49</v>
      </c>
      <c r="B25" s="18">
        <v>5000</v>
      </c>
      <c r="C25" s="47"/>
      <c r="D25" s="18"/>
      <c r="E25" s="47" t="s">
        <v>221</v>
      </c>
      <c r="F25" s="18">
        <v>5000</v>
      </c>
      <c r="G25" s="18">
        <f t="shared" si="5"/>
        <v>0</v>
      </c>
      <c r="H25" s="18">
        <f t="shared" si="6"/>
        <v>0</v>
      </c>
      <c r="I25" s="63"/>
      <c r="J25" s="63" t="s">
        <v>222</v>
      </c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" x14ac:dyDescent="0.35">
      <c r="A26" s="16" t="s">
        <v>50</v>
      </c>
      <c r="B26" s="18">
        <v>50000</v>
      </c>
      <c r="C26" s="60" t="s">
        <v>221</v>
      </c>
      <c r="D26" s="18">
        <v>40000</v>
      </c>
      <c r="E26" s="57" t="s">
        <v>398</v>
      </c>
      <c r="F26" s="18">
        <v>4000</v>
      </c>
      <c r="G26" s="18">
        <f t="shared" si="5"/>
        <v>86000</v>
      </c>
      <c r="H26" s="18">
        <f>G26-I26</f>
        <v>1700</v>
      </c>
      <c r="I26" s="63">
        <f>J26</f>
        <v>84300</v>
      </c>
      <c r="J26" s="63">
        <v>84300</v>
      </c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" x14ac:dyDescent="0.35">
      <c r="A27" s="16" t="s">
        <v>218</v>
      </c>
      <c r="B27" s="18">
        <v>314500</v>
      </c>
      <c r="C27" s="47"/>
      <c r="D27" s="18"/>
      <c r="E27" s="57" t="s">
        <v>339</v>
      </c>
      <c r="F27" s="18">
        <f>82500+210000</f>
        <v>292500</v>
      </c>
      <c r="G27" s="18">
        <f t="shared" si="5"/>
        <v>22000</v>
      </c>
      <c r="H27" s="18">
        <f>G27-I27</f>
        <v>21200</v>
      </c>
      <c r="I27" s="63">
        <f>J27</f>
        <v>800</v>
      </c>
      <c r="J27" s="63">
        <v>800</v>
      </c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" x14ac:dyDescent="0.35">
      <c r="A28" s="16" t="s">
        <v>217</v>
      </c>
      <c r="B28" s="18">
        <v>15000</v>
      </c>
      <c r="C28" s="47"/>
      <c r="D28" s="18"/>
      <c r="E28" s="57" t="s">
        <v>221</v>
      </c>
      <c r="F28" s="18">
        <v>5000</v>
      </c>
      <c r="G28" s="18">
        <f t="shared" si="5"/>
        <v>10000</v>
      </c>
      <c r="H28" s="18">
        <f>G28-I28</f>
        <v>1923.3000000000002</v>
      </c>
      <c r="I28" s="63">
        <f>K28</f>
        <v>8076.7</v>
      </c>
      <c r="J28" s="63"/>
      <c r="K28" s="18">
        <v>8076.7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" x14ac:dyDescent="0.35">
      <c r="A29" s="16"/>
      <c r="B29" s="18"/>
      <c r="C29" s="47"/>
      <c r="D29" s="18"/>
      <c r="E29" s="57"/>
      <c r="F29" s="18"/>
      <c r="G29" s="18"/>
      <c r="H29" s="18">
        <f t="shared" si="6"/>
        <v>0</v>
      </c>
      <c r="I29" s="63"/>
      <c r="J29" s="63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" x14ac:dyDescent="0.35">
      <c r="A30" s="127"/>
      <c r="B30" s="128">
        <f>SUM(B18:B28)</f>
        <v>488500</v>
      </c>
      <c r="C30" s="129"/>
      <c r="D30" s="128">
        <f>SUM(D18:D28)</f>
        <v>44000</v>
      </c>
      <c r="E30" s="129"/>
      <c r="F30" s="128">
        <f>SUM(F18:F28)</f>
        <v>361500</v>
      </c>
      <c r="G30" s="128">
        <f>SUM(G18:G28)</f>
        <v>171000</v>
      </c>
      <c r="H30" s="128">
        <f>SUM(H18:H29)</f>
        <v>36378.300000000003</v>
      </c>
      <c r="I30" s="128">
        <f>SUM(I18:I29)</f>
        <v>134621.70000000001</v>
      </c>
      <c r="J30" s="128">
        <f>SUM(J18:J29)</f>
        <v>126545</v>
      </c>
      <c r="K30" s="128">
        <f>SUM(K18:K29)</f>
        <v>8076.7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" x14ac:dyDescent="0.35">
      <c r="A31" s="6"/>
      <c r="B31" s="8"/>
      <c r="C31" s="48"/>
      <c r="D31" s="10"/>
      <c r="E31" s="48"/>
      <c r="F31" s="10"/>
      <c r="G31" s="12" t="s">
        <v>2</v>
      </c>
      <c r="H31" s="13" t="s">
        <v>6</v>
      </c>
      <c r="I31" s="12" t="s">
        <v>7</v>
      </c>
      <c r="J31" s="175" t="s">
        <v>8</v>
      </c>
      <c r="K31" s="176"/>
      <c r="L31" s="1">
        <v>15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" x14ac:dyDescent="0.35">
      <c r="A32" s="7" t="s">
        <v>11</v>
      </c>
      <c r="B32" s="9" t="s">
        <v>2</v>
      </c>
      <c r="C32" s="49"/>
      <c r="D32" s="11" t="s">
        <v>3</v>
      </c>
      <c r="E32" s="49"/>
      <c r="F32" s="11" t="s">
        <v>4</v>
      </c>
      <c r="G32" s="9" t="s">
        <v>5</v>
      </c>
      <c r="H32" s="9" t="s">
        <v>2</v>
      </c>
      <c r="I32" s="14"/>
      <c r="J32" s="62" t="s">
        <v>44</v>
      </c>
      <c r="K32" s="62" t="s">
        <v>45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" x14ac:dyDescent="0.35">
      <c r="A33" s="28" t="s">
        <v>238</v>
      </c>
      <c r="B33" s="18"/>
      <c r="C33" s="47"/>
      <c r="D33" s="18"/>
      <c r="E33" s="47"/>
      <c r="F33" s="18"/>
      <c r="G33" s="18"/>
      <c r="H33" s="18"/>
      <c r="I33" s="18"/>
      <c r="J33" s="18"/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" x14ac:dyDescent="0.35">
      <c r="A34" s="16" t="s">
        <v>52</v>
      </c>
      <c r="B34" s="18">
        <v>3000</v>
      </c>
      <c r="C34" s="47"/>
      <c r="D34" s="18"/>
      <c r="E34" s="47"/>
      <c r="F34" s="18"/>
      <c r="G34" s="18">
        <f t="shared" ref="G34:G36" si="7">B34+D34-F34</f>
        <v>3000</v>
      </c>
      <c r="H34" s="18">
        <f>G34-I34</f>
        <v>0</v>
      </c>
      <c r="I34" s="18">
        <f>J34</f>
        <v>3000</v>
      </c>
      <c r="J34" s="18">
        <v>3000</v>
      </c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" x14ac:dyDescent="0.35">
      <c r="A35" s="16" t="s">
        <v>345</v>
      </c>
      <c r="B35" s="18"/>
      <c r="C35" s="47" t="s">
        <v>372</v>
      </c>
      <c r="D35" s="18">
        <v>52000</v>
      </c>
      <c r="E35" s="47"/>
      <c r="F35" s="18"/>
      <c r="G35" s="18">
        <f t="shared" si="7"/>
        <v>52000</v>
      </c>
      <c r="H35" s="18">
        <f>G35-I35</f>
        <v>360</v>
      </c>
      <c r="I35" s="18">
        <f>J35</f>
        <v>51640</v>
      </c>
      <c r="J35" s="18">
        <v>51640</v>
      </c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" x14ac:dyDescent="0.35">
      <c r="A36" s="16" t="s">
        <v>378</v>
      </c>
      <c r="B36" s="18"/>
      <c r="C36" s="47" t="s">
        <v>372</v>
      </c>
      <c r="D36" s="18">
        <v>20000</v>
      </c>
      <c r="E36" s="47"/>
      <c r="F36" s="18"/>
      <c r="G36" s="18">
        <f t="shared" si="7"/>
        <v>20000</v>
      </c>
      <c r="H36" s="18">
        <f>G36-I36</f>
        <v>0</v>
      </c>
      <c r="I36" s="18">
        <f>J36</f>
        <v>20000</v>
      </c>
      <c r="J36" s="18">
        <v>20000</v>
      </c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" x14ac:dyDescent="0.35">
      <c r="A37" s="127"/>
      <c r="B37" s="128">
        <f>SUM(B34:B35)</f>
        <v>3000</v>
      </c>
      <c r="C37" s="129"/>
      <c r="D37" s="128">
        <f>SUM(D34:D36)</f>
        <v>72000</v>
      </c>
      <c r="E37" s="129"/>
      <c r="F37" s="128">
        <f>SUM(F34:F36)</f>
        <v>0</v>
      </c>
      <c r="G37" s="128">
        <f>SUM(G34:G36)</f>
        <v>75000</v>
      </c>
      <c r="H37" s="128">
        <f>SUM(H34:H36)</f>
        <v>360</v>
      </c>
      <c r="I37" s="128">
        <f>SUM(I34:I36)</f>
        <v>74640</v>
      </c>
      <c r="J37" s="128">
        <f>SUM(J34:J36)</f>
        <v>74640</v>
      </c>
      <c r="K37" s="128">
        <f t="shared" ref="K37" si="8">SUM(K34:K36)</f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" x14ac:dyDescent="0.35">
      <c r="A38" s="51" t="s">
        <v>239</v>
      </c>
      <c r="B38" s="21"/>
      <c r="C38" s="50"/>
      <c r="D38" s="21"/>
      <c r="E38" s="50"/>
      <c r="F38" s="21"/>
      <c r="G38" s="21"/>
      <c r="H38" s="21"/>
      <c r="I38" s="21"/>
      <c r="J38" s="21"/>
      <c r="K38" s="2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" x14ac:dyDescent="0.35">
      <c r="A39" s="20" t="s">
        <v>299</v>
      </c>
      <c r="B39" s="21">
        <v>5000</v>
      </c>
      <c r="C39" s="50"/>
      <c r="D39" s="21"/>
      <c r="E39" s="50"/>
      <c r="F39" s="21"/>
      <c r="G39" s="18">
        <f t="shared" ref="G39:G44" si="9">B39+D39-F39</f>
        <v>5000</v>
      </c>
      <c r="H39" s="18">
        <f t="shared" ref="H39:H44" si="10">G39-I39</f>
        <v>900</v>
      </c>
      <c r="I39" s="64">
        <f>J39</f>
        <v>4100</v>
      </c>
      <c r="J39" s="64">
        <v>4100</v>
      </c>
      <c r="K39" s="2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" x14ac:dyDescent="0.35">
      <c r="A40" s="20" t="s">
        <v>300</v>
      </c>
      <c r="B40" s="21">
        <v>6900</v>
      </c>
      <c r="C40" s="50"/>
      <c r="D40" s="21"/>
      <c r="E40" s="50"/>
      <c r="F40" s="21"/>
      <c r="G40" s="18">
        <f t="shared" si="9"/>
        <v>6900</v>
      </c>
      <c r="H40" s="18">
        <f t="shared" si="10"/>
        <v>0</v>
      </c>
      <c r="I40" s="21">
        <f>J40</f>
        <v>6900</v>
      </c>
      <c r="J40" s="21">
        <v>6900</v>
      </c>
      <c r="K40" s="2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" x14ac:dyDescent="0.35">
      <c r="A41" s="27" t="s">
        <v>301</v>
      </c>
      <c r="B41" s="21">
        <v>5500</v>
      </c>
      <c r="C41" s="50"/>
      <c r="D41" s="21"/>
      <c r="E41" s="50"/>
      <c r="F41" s="21"/>
      <c r="G41" s="18">
        <f t="shared" si="9"/>
        <v>5500</v>
      </c>
      <c r="H41" s="18">
        <f t="shared" si="10"/>
        <v>935</v>
      </c>
      <c r="I41" s="21">
        <f>J41</f>
        <v>4565</v>
      </c>
      <c r="J41" s="21">
        <v>4565</v>
      </c>
      <c r="K41" s="2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" x14ac:dyDescent="0.35">
      <c r="A42" s="27" t="s">
        <v>338</v>
      </c>
      <c r="B42" s="21"/>
      <c r="C42" s="50" t="s">
        <v>221</v>
      </c>
      <c r="D42" s="21">
        <v>100000</v>
      </c>
      <c r="E42" s="50"/>
      <c r="F42" s="21"/>
      <c r="G42" s="18">
        <f t="shared" si="9"/>
        <v>100000</v>
      </c>
      <c r="H42" s="18">
        <f t="shared" si="10"/>
        <v>4770</v>
      </c>
      <c r="I42" s="21">
        <f>J42</f>
        <v>95230</v>
      </c>
      <c r="J42" s="21">
        <v>95230</v>
      </c>
      <c r="K42" s="2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" x14ac:dyDescent="0.35">
      <c r="A43" s="27" t="s">
        <v>340</v>
      </c>
      <c r="B43" s="21"/>
      <c r="C43" s="50" t="s">
        <v>221</v>
      </c>
      <c r="D43" s="21">
        <v>195000</v>
      </c>
      <c r="E43" s="50" t="s">
        <v>381</v>
      </c>
      <c r="F43" s="21">
        <v>189500</v>
      </c>
      <c r="G43" s="18">
        <f t="shared" si="9"/>
        <v>5500</v>
      </c>
      <c r="H43" s="18">
        <f t="shared" si="10"/>
        <v>5500</v>
      </c>
      <c r="I43" s="21"/>
      <c r="J43" s="64" t="s">
        <v>222</v>
      </c>
      <c r="K43" s="2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" x14ac:dyDescent="0.35">
      <c r="A44" s="27" t="s">
        <v>392</v>
      </c>
      <c r="B44" s="21"/>
      <c r="C44" s="50" t="s">
        <v>381</v>
      </c>
      <c r="D44" s="21">
        <v>25000</v>
      </c>
      <c r="E44" s="50"/>
      <c r="F44" s="21"/>
      <c r="G44" s="18">
        <f t="shared" si="9"/>
        <v>25000</v>
      </c>
      <c r="H44" s="18">
        <f t="shared" si="10"/>
        <v>4000</v>
      </c>
      <c r="I44" s="21">
        <f>J44</f>
        <v>21000</v>
      </c>
      <c r="J44" s="21">
        <v>21000</v>
      </c>
      <c r="K44" s="2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" x14ac:dyDescent="0.35">
      <c r="A45" s="127"/>
      <c r="B45" s="128">
        <f>SUM(B39:B44)</f>
        <v>17400</v>
      </c>
      <c r="C45" s="129"/>
      <c r="D45" s="128">
        <f>SUM(D39:D44)</f>
        <v>320000</v>
      </c>
      <c r="E45" s="129"/>
      <c r="F45" s="128">
        <f>SUM(F39:F44)</f>
        <v>189500</v>
      </c>
      <c r="G45" s="128">
        <f>SUM(G39:G44)</f>
        <v>147900</v>
      </c>
      <c r="H45" s="128">
        <f t="shared" ref="H45:K45" si="11">SUM(H39:H44)</f>
        <v>16105</v>
      </c>
      <c r="I45" s="128">
        <f>SUM(I39:I44)</f>
        <v>131795</v>
      </c>
      <c r="J45" s="128">
        <f t="shared" si="11"/>
        <v>131795</v>
      </c>
      <c r="K45" s="128">
        <f t="shared" si="11"/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" x14ac:dyDescent="0.35">
      <c r="A46" s="51" t="s">
        <v>240</v>
      </c>
      <c r="B46" s="21"/>
      <c r="C46" s="50"/>
      <c r="D46" s="21"/>
      <c r="E46" s="50"/>
      <c r="F46" s="21"/>
      <c r="G46" s="21"/>
      <c r="H46" s="21"/>
      <c r="I46" s="21"/>
      <c r="J46" s="21"/>
      <c r="K46" s="2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" x14ac:dyDescent="0.35">
      <c r="A47" s="20" t="s">
        <v>332</v>
      </c>
      <c r="B47" s="21"/>
      <c r="C47" s="50" t="s">
        <v>220</v>
      </c>
      <c r="D47" s="21">
        <v>82500</v>
      </c>
      <c r="E47" s="50"/>
      <c r="F47" s="21"/>
      <c r="G47" s="18">
        <f t="shared" ref="G47:G48" si="12">B47+D47-F47</f>
        <v>82500</v>
      </c>
      <c r="H47" s="21">
        <f>G47-I47</f>
        <v>500</v>
      </c>
      <c r="I47" s="21">
        <f>J47</f>
        <v>82000</v>
      </c>
      <c r="J47" s="21">
        <v>82000</v>
      </c>
      <c r="K47" s="2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" x14ac:dyDescent="0.35">
      <c r="A48" s="20" t="s">
        <v>419</v>
      </c>
      <c r="B48" s="21"/>
      <c r="C48" s="50" t="s">
        <v>221</v>
      </c>
      <c r="D48" s="21">
        <v>75000</v>
      </c>
      <c r="E48" s="50"/>
      <c r="F48" s="21"/>
      <c r="G48" s="18">
        <f t="shared" si="12"/>
        <v>75000</v>
      </c>
      <c r="H48" s="21">
        <f>G48-I48</f>
        <v>7265</v>
      </c>
      <c r="I48" s="21">
        <f>J48</f>
        <v>67735</v>
      </c>
      <c r="J48" s="64">
        <v>67735</v>
      </c>
      <c r="K48" s="2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" x14ac:dyDescent="0.35">
      <c r="A49" s="127"/>
      <c r="B49" s="128"/>
      <c r="C49" s="129"/>
      <c r="D49" s="128">
        <f>SUM(D47:D48)</f>
        <v>157500</v>
      </c>
      <c r="E49" s="129"/>
      <c r="F49" s="128">
        <f>SUM(F47:F48)</f>
        <v>0</v>
      </c>
      <c r="G49" s="128">
        <f>SUM(G47:G48)</f>
        <v>157500</v>
      </c>
      <c r="H49" s="128">
        <f t="shared" ref="H49:K49" si="13">SUM(H47:H48)</f>
        <v>7765</v>
      </c>
      <c r="I49" s="128">
        <f>SUM(I47:I48)</f>
        <v>149735</v>
      </c>
      <c r="J49" s="128">
        <f t="shared" si="13"/>
        <v>149735</v>
      </c>
      <c r="K49" s="128">
        <f t="shared" si="13"/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" x14ac:dyDescent="0.35">
      <c r="A50" s="117" t="s">
        <v>53</v>
      </c>
      <c r="B50" s="115">
        <f>B11+B16+B30+B37+B45</f>
        <v>2073920</v>
      </c>
      <c r="C50" s="116"/>
      <c r="D50" s="115">
        <f>D11+D16+D30+D37+D45+D49</f>
        <v>593500</v>
      </c>
      <c r="E50" s="116"/>
      <c r="F50" s="115">
        <f>F11+F16+F30+F37+F45+F49</f>
        <v>869640</v>
      </c>
      <c r="G50" s="115">
        <f>G11+G16+G30+G37+G45+G49</f>
        <v>1797780</v>
      </c>
      <c r="H50" s="115">
        <f t="shared" ref="H50:K50" si="14">H11+H16+H30+H37+H45+H49</f>
        <v>60658.3</v>
      </c>
      <c r="I50" s="115">
        <f>I11+I16+I30+I37+I45+I49</f>
        <v>1737121.7</v>
      </c>
      <c r="J50" s="115">
        <f>J11+J16+J30+J37+J45+J49</f>
        <v>1729045</v>
      </c>
      <c r="K50" s="115">
        <f t="shared" si="14"/>
        <v>8076.7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" x14ac:dyDescent="0.35">
      <c r="A51" s="16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" x14ac:dyDescent="0.35">
      <c r="A52" s="16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" x14ac:dyDescent="0.35">
      <c r="A53" s="16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" x14ac:dyDescent="0.35">
      <c r="A54" s="16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" x14ac:dyDescent="0.35">
      <c r="A55" s="16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" x14ac:dyDescent="0.35">
      <c r="A56" s="16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" x14ac:dyDescent="0.35">
      <c r="A57" s="1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" x14ac:dyDescent="0.35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" x14ac:dyDescent="0.35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" x14ac:dyDescent="0.35">
      <c r="A60" s="1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" x14ac:dyDescent="0.35">
      <c r="A61" s="1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" x14ac:dyDescent="0.3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" x14ac:dyDescent="0.3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" x14ac:dyDescent="0.3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8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8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8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8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8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8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8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</sheetData>
  <mergeCells count="5">
    <mergeCell ref="A1:K1"/>
    <mergeCell ref="A2:K2"/>
    <mergeCell ref="A3:K3"/>
    <mergeCell ref="J4:K4"/>
    <mergeCell ref="J31:K31"/>
  </mergeCells>
  <pageMargins left="0.56000000000000005" right="0.19" top="0.31" bottom="0.25" header="0.3" footer="0.25"/>
  <pageSetup paperSize="5" scale="98" orientation="landscape" horizontalDpi="4294967293" r:id="rId1"/>
  <rowBreaks count="2" manualBreakCount="2">
    <brk id="30" max="11" man="1"/>
    <brk id="50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7"/>
  <sheetViews>
    <sheetView view="pageBreakPreview" zoomScaleSheetLayoutView="100" workbookViewId="0">
      <selection activeCell="A3" sqref="A3:K3"/>
    </sheetView>
  </sheetViews>
  <sheetFormatPr defaultRowHeight="13.8" x14ac:dyDescent="0.25"/>
  <cols>
    <col min="1" max="1" width="55.3984375" customWidth="1"/>
    <col min="2" max="2" width="12.69921875" customWidth="1"/>
    <col min="3" max="3" width="2.19921875" customWidth="1"/>
    <col min="4" max="4" width="11.59765625" customWidth="1"/>
    <col min="5" max="5" width="2.59765625" customWidth="1"/>
    <col min="6" max="6" width="11.19921875" customWidth="1"/>
    <col min="7" max="7" width="11.5" customWidth="1"/>
    <col min="8" max="8" width="12.59765625" customWidth="1"/>
    <col min="9" max="9" width="12.19921875" customWidth="1"/>
    <col min="10" max="10" width="11.8984375" customWidth="1"/>
    <col min="11" max="11" width="11.59765625" customWidth="1"/>
    <col min="12" max="12" width="2.8984375" customWidth="1"/>
  </cols>
  <sheetData>
    <row r="1" spans="1:23" ht="18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">
        <v>16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x14ac:dyDescent="0.35">
      <c r="A2" s="174" t="s">
        <v>103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x14ac:dyDescent="0.35">
      <c r="A3" s="174" t="s">
        <v>241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" x14ac:dyDescent="0.35">
      <c r="A4" s="6"/>
      <c r="B4" s="8"/>
      <c r="C4" s="3"/>
      <c r="D4" s="10"/>
      <c r="E4" s="3"/>
      <c r="F4" s="10"/>
      <c r="G4" s="12" t="s">
        <v>2</v>
      </c>
      <c r="H4" s="13" t="s">
        <v>6</v>
      </c>
      <c r="I4" s="12" t="s">
        <v>7</v>
      </c>
      <c r="J4" s="175" t="s">
        <v>8</v>
      </c>
      <c r="K4" s="17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" x14ac:dyDescent="0.35">
      <c r="A5" s="7" t="s">
        <v>11</v>
      </c>
      <c r="B5" s="9" t="s">
        <v>2</v>
      </c>
      <c r="C5" s="4"/>
      <c r="D5" s="11" t="s">
        <v>3</v>
      </c>
      <c r="E5" s="4"/>
      <c r="F5" s="11" t="s">
        <v>4</v>
      </c>
      <c r="G5" s="9" t="s">
        <v>5</v>
      </c>
      <c r="H5" s="9" t="s">
        <v>2</v>
      </c>
      <c r="I5" s="14"/>
      <c r="J5" s="29" t="s">
        <v>82</v>
      </c>
      <c r="K5" s="29" t="s">
        <v>83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" x14ac:dyDescent="0.35">
      <c r="A6" s="95" t="s">
        <v>253</v>
      </c>
      <c r="B6" s="18"/>
      <c r="C6" s="47"/>
      <c r="D6" s="18"/>
      <c r="E6" s="47"/>
      <c r="F6" s="18"/>
      <c r="G6" s="18"/>
      <c r="H6" s="18"/>
      <c r="I6" s="18"/>
      <c r="J6" s="18"/>
      <c r="K6" s="1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 x14ac:dyDescent="0.35">
      <c r="A7" s="16" t="s">
        <v>295</v>
      </c>
      <c r="B7" s="18">
        <v>153900</v>
      </c>
      <c r="C7" s="47"/>
      <c r="D7" s="18"/>
      <c r="E7" s="47"/>
      <c r="F7" s="18"/>
      <c r="G7" s="18">
        <f>B7+D7-F7</f>
        <v>153900</v>
      </c>
      <c r="H7" s="18">
        <f>G7-I7</f>
        <v>1200</v>
      </c>
      <c r="I7" s="18">
        <v>152700</v>
      </c>
      <c r="J7" s="18">
        <v>152700</v>
      </c>
      <c r="K7" s="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x14ac:dyDescent="0.35">
      <c r="A8" s="16" t="s">
        <v>296</v>
      </c>
      <c r="B8" s="18">
        <v>10000</v>
      </c>
      <c r="C8" s="47"/>
      <c r="D8" s="18"/>
      <c r="E8" s="98" t="s">
        <v>221</v>
      </c>
      <c r="F8" s="18">
        <v>3000</v>
      </c>
      <c r="G8" s="18">
        <f>B8+D8-F8</f>
        <v>7000</v>
      </c>
      <c r="H8" s="18">
        <f t="shared" ref="H8:H9" si="0">G8-I8</f>
        <v>7000</v>
      </c>
      <c r="I8" s="18">
        <f t="shared" ref="I8:I9" si="1">SUM(J8:K8)</f>
        <v>0</v>
      </c>
      <c r="J8" s="18" t="s">
        <v>222</v>
      </c>
      <c r="K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" x14ac:dyDescent="0.35">
      <c r="A9" s="16" t="s">
        <v>84</v>
      </c>
      <c r="B9" s="18">
        <v>296100</v>
      </c>
      <c r="C9" s="47"/>
      <c r="D9" s="18"/>
      <c r="E9" s="47" t="s">
        <v>404</v>
      </c>
      <c r="F9" s="18">
        <f>17000+103200</f>
        <v>120200</v>
      </c>
      <c r="G9" s="18">
        <f>B9+D9-F9</f>
        <v>175900</v>
      </c>
      <c r="H9" s="18">
        <f t="shared" si="0"/>
        <v>0</v>
      </c>
      <c r="I9" s="18">
        <f t="shared" si="1"/>
        <v>175900</v>
      </c>
      <c r="J9" s="63"/>
      <c r="K9" s="18">
        <v>175900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" x14ac:dyDescent="0.35">
      <c r="A10" s="16" t="s">
        <v>297</v>
      </c>
      <c r="B10" s="18">
        <v>3000</v>
      </c>
      <c r="C10" s="47"/>
      <c r="D10" s="18"/>
      <c r="E10" s="47" t="s">
        <v>372</v>
      </c>
      <c r="F10" s="18">
        <v>2000</v>
      </c>
      <c r="G10" s="18">
        <f>B10+D10-F10</f>
        <v>1000</v>
      </c>
      <c r="H10" s="18">
        <f>G10-I10</f>
        <v>1000</v>
      </c>
      <c r="I10" s="18">
        <f>SUM(J10:K10)</f>
        <v>0</v>
      </c>
      <c r="J10" s="63"/>
      <c r="K10" s="63" t="s">
        <v>222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" x14ac:dyDescent="0.35">
      <c r="A11" s="127"/>
      <c r="B11" s="128">
        <f>SUM(B7:B10)</f>
        <v>463000</v>
      </c>
      <c r="C11" s="129"/>
      <c r="D11" s="128">
        <f>SUM(D7:D10)</f>
        <v>0</v>
      </c>
      <c r="E11" s="129"/>
      <c r="F11" s="128">
        <f>SUM(F7:F10)</f>
        <v>125200</v>
      </c>
      <c r="G11" s="128">
        <f>SUM(G7:G10)</f>
        <v>337800</v>
      </c>
      <c r="H11" s="128">
        <f t="shared" ref="H11:K11" si="2">SUM(H7:H10)</f>
        <v>9200</v>
      </c>
      <c r="I11" s="128">
        <f>SUM(I7:I10)</f>
        <v>328600</v>
      </c>
      <c r="J11" s="128">
        <f t="shared" si="2"/>
        <v>152700</v>
      </c>
      <c r="K11" s="128">
        <f t="shared" si="2"/>
        <v>175900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" x14ac:dyDescent="0.35">
      <c r="A12" s="28" t="s">
        <v>266</v>
      </c>
      <c r="B12" s="18"/>
      <c r="C12" s="47"/>
      <c r="D12" s="18"/>
      <c r="E12" s="47"/>
      <c r="F12" s="18"/>
      <c r="G12" s="18"/>
      <c r="H12" s="18"/>
      <c r="I12" s="18"/>
      <c r="J12" s="18"/>
      <c r="K12" s="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" x14ac:dyDescent="0.35">
      <c r="A13" s="16" t="s">
        <v>71</v>
      </c>
      <c r="B13" s="18"/>
      <c r="C13" s="47"/>
      <c r="D13" s="18"/>
      <c r="E13" s="47"/>
      <c r="F13" s="18"/>
      <c r="G13" s="18"/>
      <c r="H13" s="18"/>
      <c r="I13" s="18"/>
      <c r="J13" s="18"/>
      <c r="K13" s="1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" x14ac:dyDescent="0.35">
      <c r="A14" s="16" t="s">
        <v>95</v>
      </c>
      <c r="B14" s="18">
        <v>25000</v>
      </c>
      <c r="C14" s="47"/>
      <c r="D14" s="18"/>
      <c r="E14" s="47"/>
      <c r="F14" s="18"/>
      <c r="G14" s="18">
        <f t="shared" ref="G14:G17" si="3">B14+D14-F14</f>
        <v>25000</v>
      </c>
      <c r="H14" s="18">
        <f t="shared" ref="H14:H17" si="4">G14-I14</f>
        <v>0</v>
      </c>
      <c r="I14" s="18">
        <f>SUM(J14:K14)</f>
        <v>25000</v>
      </c>
      <c r="J14" s="18"/>
      <c r="K14" s="18">
        <v>25000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" x14ac:dyDescent="0.35">
      <c r="A15" s="16" t="s">
        <v>96</v>
      </c>
      <c r="B15" s="18">
        <v>25000</v>
      </c>
      <c r="C15" s="47"/>
      <c r="D15" s="18"/>
      <c r="E15" s="47"/>
      <c r="F15" s="18"/>
      <c r="G15" s="18">
        <f t="shared" si="3"/>
        <v>25000</v>
      </c>
      <c r="H15" s="18">
        <f t="shared" si="4"/>
        <v>0</v>
      </c>
      <c r="I15" s="18">
        <f t="shared" ref="I15:I17" si="5">SUM(J15:K15)</f>
        <v>25000</v>
      </c>
      <c r="J15" s="18"/>
      <c r="K15" s="18">
        <v>25000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" x14ac:dyDescent="0.35">
      <c r="A16" s="16" t="s">
        <v>335</v>
      </c>
      <c r="B16" s="18"/>
      <c r="C16" s="47" t="s">
        <v>220</v>
      </c>
      <c r="D16" s="18">
        <v>6000</v>
      </c>
      <c r="E16" s="47"/>
      <c r="F16" s="18"/>
      <c r="G16" s="18">
        <f t="shared" si="3"/>
        <v>6000</v>
      </c>
      <c r="H16" s="18">
        <f t="shared" si="4"/>
        <v>0</v>
      </c>
      <c r="I16" s="18">
        <f t="shared" si="5"/>
        <v>6000</v>
      </c>
      <c r="J16" s="63">
        <v>6000</v>
      </c>
      <c r="K16" s="6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x14ac:dyDescent="0.35">
      <c r="A17" s="16" t="s">
        <v>349</v>
      </c>
      <c r="B17" s="18"/>
      <c r="C17" s="47" t="s">
        <v>347</v>
      </c>
      <c r="D17" s="18">
        <v>25000</v>
      </c>
      <c r="E17" s="47"/>
      <c r="F17" s="18"/>
      <c r="G17" s="18">
        <f t="shared" si="3"/>
        <v>25000</v>
      </c>
      <c r="H17" s="18">
        <f t="shared" si="4"/>
        <v>0</v>
      </c>
      <c r="I17" s="18">
        <f t="shared" si="5"/>
        <v>25000</v>
      </c>
      <c r="J17" s="63">
        <v>25000</v>
      </c>
      <c r="K17" s="6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x14ac:dyDescent="0.35">
      <c r="A18" s="127"/>
      <c r="B18" s="128">
        <f>SUM(B14:B16)</f>
        <v>50000</v>
      </c>
      <c r="C18" s="129"/>
      <c r="D18" s="128">
        <f>SUM(D14:D17)</f>
        <v>31000</v>
      </c>
      <c r="E18" s="128"/>
      <c r="F18" s="128">
        <f>SUM(F14:F17)</f>
        <v>0</v>
      </c>
      <c r="G18" s="128">
        <f>SUM(G14:G17)</f>
        <v>81000</v>
      </c>
      <c r="H18" s="128">
        <f t="shared" ref="H18:K18" si="6">SUM(H14:H17)</f>
        <v>0</v>
      </c>
      <c r="I18" s="128">
        <f>SUM(I14:I17)</f>
        <v>81000</v>
      </c>
      <c r="J18" s="128">
        <f t="shared" si="6"/>
        <v>31000</v>
      </c>
      <c r="K18" s="128">
        <f t="shared" si="6"/>
        <v>50000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" x14ac:dyDescent="0.35">
      <c r="A19" s="88" t="s">
        <v>104</v>
      </c>
      <c r="B19" s="89">
        <f>B11+B18</f>
        <v>513000</v>
      </c>
      <c r="C19" s="90"/>
      <c r="D19" s="89">
        <f>D11+D18</f>
        <v>31000</v>
      </c>
      <c r="E19" s="90"/>
      <c r="F19" s="89">
        <f>F11+F18</f>
        <v>125200</v>
      </c>
      <c r="G19" s="89">
        <f>G11+G18</f>
        <v>418800</v>
      </c>
      <c r="H19" s="89">
        <f t="shared" ref="H19:K19" si="7">H11+H18</f>
        <v>9200</v>
      </c>
      <c r="I19" s="89">
        <f t="shared" si="7"/>
        <v>409600</v>
      </c>
      <c r="J19" s="89">
        <f>J11+J18</f>
        <v>183700</v>
      </c>
      <c r="K19" s="89">
        <f t="shared" si="7"/>
        <v>225900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x14ac:dyDescent="0.35">
      <c r="A20" s="16"/>
      <c r="B20" s="18"/>
      <c r="C20" s="47"/>
      <c r="D20" s="18"/>
      <c r="E20" s="18"/>
      <c r="F20" s="18"/>
      <c r="G20" s="18"/>
      <c r="H20" s="18"/>
      <c r="I20" s="18"/>
      <c r="J20" s="18"/>
      <c r="K20" s="1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x14ac:dyDescent="0.35">
      <c r="A21" s="16"/>
      <c r="B21" s="18"/>
      <c r="C21" s="47"/>
      <c r="D21" s="18"/>
      <c r="E21" s="18"/>
      <c r="F21" s="18"/>
      <c r="G21" s="18"/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x14ac:dyDescent="0.35">
      <c r="A22" s="16"/>
      <c r="B22" s="18"/>
      <c r="C22" s="47"/>
      <c r="D22" s="18"/>
      <c r="E22" s="18"/>
      <c r="F22" s="18"/>
      <c r="G22" s="18"/>
      <c r="H22" s="18"/>
      <c r="I22" s="18"/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x14ac:dyDescent="0.35">
      <c r="A23" s="16"/>
      <c r="B23" s="18"/>
      <c r="C23" s="47"/>
      <c r="D23" s="18"/>
      <c r="E23" s="18"/>
      <c r="F23" s="18"/>
      <c r="G23" s="18"/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 x14ac:dyDescent="0.35">
      <c r="A24" s="16"/>
      <c r="B24" s="18"/>
      <c r="C24" s="47"/>
      <c r="D24" s="18"/>
      <c r="E24" s="18"/>
      <c r="F24" s="18"/>
      <c r="G24" s="18"/>
      <c r="H24" s="18"/>
      <c r="I24" s="18"/>
      <c r="J24" s="18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x14ac:dyDescent="0.35">
      <c r="A25" s="16"/>
      <c r="B25" s="18"/>
      <c r="C25" s="47"/>
      <c r="D25" s="18"/>
      <c r="E25" s="18"/>
      <c r="F25" s="18"/>
      <c r="G25" s="18"/>
      <c r="H25" s="18"/>
      <c r="I25" s="18"/>
      <c r="J25" s="18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" x14ac:dyDescent="0.35">
      <c r="A26" s="16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" x14ac:dyDescent="0.35">
      <c r="A27" s="16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</sheetData>
  <mergeCells count="4">
    <mergeCell ref="A1:K1"/>
    <mergeCell ref="A2:K2"/>
    <mergeCell ref="A3:K3"/>
    <mergeCell ref="J4:K4"/>
  </mergeCells>
  <pageMargins left="0.64" right="0.19685039370078741" top="0.31496062992125984" bottom="0.23622047244094491" header="0.31496062992125984" footer="0.23622047244094491"/>
  <pageSetup paperSize="5" scale="95" orientation="landscape" horizontalDpi="4294967293" r:id="rId1"/>
  <rowBreaks count="1" manualBreakCount="1">
    <brk id="19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1"/>
  <sheetViews>
    <sheetView view="pageBreakPreview" topLeftCell="A13" zoomScaleSheetLayoutView="100" workbookViewId="0">
      <selection activeCell="A3" sqref="A3:J3"/>
    </sheetView>
  </sheetViews>
  <sheetFormatPr defaultRowHeight="13.8" x14ac:dyDescent="0.25"/>
  <cols>
    <col min="1" max="1" width="55.3984375" customWidth="1"/>
    <col min="2" max="2" width="12.69921875" customWidth="1"/>
    <col min="3" max="3" width="2.19921875" customWidth="1"/>
    <col min="4" max="4" width="11.59765625" customWidth="1"/>
    <col min="5" max="5" width="2.3984375" customWidth="1"/>
    <col min="6" max="6" width="11.19921875" customWidth="1"/>
    <col min="7" max="7" width="12.69921875" customWidth="1"/>
    <col min="8" max="8" width="12.59765625" customWidth="1"/>
    <col min="9" max="9" width="12.19921875" customWidth="1"/>
    <col min="10" max="10" width="12.8984375" customWidth="1"/>
  </cols>
  <sheetData>
    <row r="1" spans="1:22" ht="18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">
        <v>17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x14ac:dyDescent="0.35">
      <c r="A2" s="174" t="s">
        <v>105</v>
      </c>
      <c r="B2" s="174"/>
      <c r="C2" s="174"/>
      <c r="D2" s="174"/>
      <c r="E2" s="174"/>
      <c r="F2" s="174"/>
      <c r="G2" s="174"/>
      <c r="H2" s="174"/>
      <c r="I2" s="174"/>
      <c r="J2" s="17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x14ac:dyDescent="0.35">
      <c r="A3" s="174" t="s">
        <v>241</v>
      </c>
      <c r="B3" s="174"/>
      <c r="C3" s="174"/>
      <c r="D3" s="174"/>
      <c r="E3" s="174"/>
      <c r="F3" s="174"/>
      <c r="G3" s="174"/>
      <c r="H3" s="174"/>
      <c r="I3" s="174"/>
      <c r="J3" s="17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x14ac:dyDescent="0.35">
      <c r="A4" s="6"/>
      <c r="B4" s="8"/>
      <c r="C4" s="3"/>
      <c r="D4" s="10"/>
      <c r="E4" s="3"/>
      <c r="F4" s="10"/>
      <c r="G4" s="12" t="s">
        <v>2</v>
      </c>
      <c r="H4" s="13" t="s">
        <v>6</v>
      </c>
      <c r="I4" s="12" t="s">
        <v>7</v>
      </c>
      <c r="J4" s="58" t="s">
        <v>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x14ac:dyDescent="0.35">
      <c r="A5" s="7" t="s">
        <v>11</v>
      </c>
      <c r="B5" s="9" t="s">
        <v>2</v>
      </c>
      <c r="C5" s="4"/>
      <c r="D5" s="11" t="s">
        <v>3</v>
      </c>
      <c r="E5" s="4"/>
      <c r="F5" s="11" t="s">
        <v>4</v>
      </c>
      <c r="G5" s="9" t="s">
        <v>5</v>
      </c>
      <c r="H5" s="9" t="s">
        <v>2</v>
      </c>
      <c r="I5" s="14"/>
      <c r="J5" s="15" t="s">
        <v>19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8" x14ac:dyDescent="0.35">
      <c r="A6" s="28" t="s">
        <v>115</v>
      </c>
      <c r="B6" s="18"/>
      <c r="C6" s="47"/>
      <c r="D6" s="18"/>
      <c r="E6" s="47"/>
      <c r="F6" s="18"/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x14ac:dyDescent="0.35">
      <c r="A7" s="16" t="s">
        <v>24</v>
      </c>
      <c r="B7" s="18">
        <v>288000</v>
      </c>
      <c r="C7" s="47" t="s">
        <v>371</v>
      </c>
      <c r="D7" s="18">
        <f>51000+50000</f>
        <v>101000</v>
      </c>
      <c r="E7" s="47" t="s">
        <v>403</v>
      </c>
      <c r="F7" s="18">
        <v>12550</v>
      </c>
      <c r="G7" s="18">
        <f>B7+D7-F7</f>
        <v>376450</v>
      </c>
      <c r="H7" s="18">
        <f>G7-I7</f>
        <v>13607.5</v>
      </c>
      <c r="I7" s="18">
        <f>J7</f>
        <v>362842.5</v>
      </c>
      <c r="J7" s="18">
        <f>346838+16004.5</f>
        <v>362842.5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x14ac:dyDescent="0.35">
      <c r="A8" s="16" t="s">
        <v>197</v>
      </c>
      <c r="B8" s="18">
        <v>15000</v>
      </c>
      <c r="C8" s="47"/>
      <c r="D8" s="18"/>
      <c r="E8" s="47"/>
      <c r="F8" s="18"/>
      <c r="G8" s="18">
        <f t="shared" ref="G8:G9" si="0">B8+D8-F8</f>
        <v>15000</v>
      </c>
      <c r="H8" s="18">
        <f t="shared" ref="H8:H9" si="1">G8-I8</f>
        <v>10950</v>
      </c>
      <c r="I8" s="18">
        <f t="shared" ref="I8:I9" si="2">J8</f>
        <v>4050</v>
      </c>
      <c r="J8" s="18">
        <v>4050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x14ac:dyDescent="0.35">
      <c r="A9" s="16" t="s">
        <v>336</v>
      </c>
      <c r="B9" s="18"/>
      <c r="C9" s="47" t="s">
        <v>221</v>
      </c>
      <c r="D9" s="18">
        <v>5000</v>
      </c>
      <c r="E9" s="47"/>
      <c r="F9" s="18"/>
      <c r="G9" s="18">
        <f t="shared" si="0"/>
        <v>5000</v>
      </c>
      <c r="H9" s="18">
        <f t="shared" si="1"/>
        <v>5000</v>
      </c>
      <c r="I9" s="18">
        <f t="shared" si="2"/>
        <v>0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8" x14ac:dyDescent="0.35">
      <c r="A10" s="127"/>
      <c r="B10" s="128">
        <f>SUM(B7:B8)</f>
        <v>303000</v>
      </c>
      <c r="C10" s="129"/>
      <c r="D10" s="128">
        <f>SUM(D7:D9)</f>
        <v>106000</v>
      </c>
      <c r="E10" s="129"/>
      <c r="F10" s="128">
        <f>SUM(F7:F9)</f>
        <v>12550</v>
      </c>
      <c r="G10" s="128">
        <f>SUM(G7:G9)</f>
        <v>396450</v>
      </c>
      <c r="H10" s="128">
        <f>SUM(H7:H9)</f>
        <v>29557.5</v>
      </c>
      <c r="I10" s="128">
        <f>SUM(I7:I9)</f>
        <v>366892.5</v>
      </c>
      <c r="J10" s="128">
        <f t="shared" ref="J10" si="3">SUM(J7:J9)</f>
        <v>366892.5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8" x14ac:dyDescent="0.35">
      <c r="A11" s="28" t="s">
        <v>116</v>
      </c>
      <c r="B11" s="18"/>
      <c r="C11" s="47"/>
      <c r="D11" s="18"/>
      <c r="E11" s="47"/>
      <c r="F11" s="18"/>
      <c r="G11" s="18"/>
      <c r="H11" s="18"/>
      <c r="I11" s="18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8" x14ac:dyDescent="0.35">
      <c r="A12" s="16" t="s">
        <v>200</v>
      </c>
      <c r="B12" s="18">
        <v>10000</v>
      </c>
      <c r="C12" s="60" t="s">
        <v>221</v>
      </c>
      <c r="D12" s="18">
        <v>10000</v>
      </c>
      <c r="E12" s="47"/>
      <c r="F12" s="18"/>
      <c r="G12" s="18">
        <f t="shared" ref="G12:G16" si="4">B12+D12-F12</f>
        <v>20000</v>
      </c>
      <c r="H12" s="18">
        <f>G12-I12</f>
        <v>2270</v>
      </c>
      <c r="I12" s="18">
        <f>J12</f>
        <v>17730</v>
      </c>
      <c r="J12" s="18">
        <v>17730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8" x14ac:dyDescent="0.35">
      <c r="A13" s="16" t="s">
        <v>201</v>
      </c>
      <c r="B13" s="18">
        <v>220000</v>
      </c>
      <c r="C13" s="47"/>
      <c r="D13" s="18"/>
      <c r="E13" s="47"/>
      <c r="F13" s="18"/>
      <c r="G13" s="18">
        <f t="shared" si="4"/>
        <v>220000</v>
      </c>
      <c r="H13" s="18">
        <f>G13-I13</f>
        <v>85.600000000005821</v>
      </c>
      <c r="I13" s="18">
        <f t="shared" ref="I13:I15" si="5">J13</f>
        <v>219914.4</v>
      </c>
      <c r="J13" s="18">
        <v>219914.4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x14ac:dyDescent="0.35">
      <c r="A14" s="16" t="s">
        <v>202</v>
      </c>
      <c r="B14" s="18">
        <v>300000</v>
      </c>
      <c r="C14" s="47"/>
      <c r="D14" s="18"/>
      <c r="E14" s="47" t="s">
        <v>221</v>
      </c>
      <c r="F14" s="18">
        <v>35000</v>
      </c>
      <c r="G14" s="18">
        <f t="shared" si="4"/>
        <v>265000</v>
      </c>
      <c r="H14" s="18">
        <f>G14-I14</f>
        <v>21124</v>
      </c>
      <c r="I14" s="18">
        <f>J14</f>
        <v>243876</v>
      </c>
      <c r="J14" s="18">
        <f>244414-538</f>
        <v>243876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x14ac:dyDescent="0.35">
      <c r="A15" s="16" t="s">
        <v>203</v>
      </c>
      <c r="B15" s="18">
        <v>100000</v>
      </c>
      <c r="C15" s="47"/>
      <c r="D15" s="18"/>
      <c r="E15" s="47"/>
      <c r="F15" s="18"/>
      <c r="G15" s="18">
        <f t="shared" si="4"/>
        <v>100000</v>
      </c>
      <c r="H15" s="18">
        <f>G15-I15</f>
        <v>93680.5</v>
      </c>
      <c r="I15" s="18">
        <f t="shared" si="5"/>
        <v>6319.5</v>
      </c>
      <c r="J15" s="18">
        <v>6319.5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x14ac:dyDescent="0.35">
      <c r="A16" s="16" t="s">
        <v>91</v>
      </c>
      <c r="B16" s="18">
        <v>5000</v>
      </c>
      <c r="C16" s="47"/>
      <c r="D16" s="18"/>
      <c r="E16" s="47"/>
      <c r="F16" s="18"/>
      <c r="G16" s="18">
        <f t="shared" si="4"/>
        <v>5000</v>
      </c>
      <c r="H16" s="18">
        <f>G16-I16</f>
        <v>2800</v>
      </c>
      <c r="I16" s="18">
        <f>J16</f>
        <v>2200</v>
      </c>
      <c r="J16" s="18">
        <v>2200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x14ac:dyDescent="0.35">
      <c r="A17" s="127"/>
      <c r="B17" s="128">
        <f>SUM(B12:B16)</f>
        <v>635000</v>
      </c>
      <c r="C17" s="129"/>
      <c r="D17" s="128">
        <f>SUM(D12:D16)</f>
        <v>10000</v>
      </c>
      <c r="E17" s="129"/>
      <c r="F17" s="128">
        <f>SUM(F12:F16)</f>
        <v>35000</v>
      </c>
      <c r="G17" s="128">
        <f>SUM(G12:G16)</f>
        <v>610000</v>
      </c>
      <c r="H17" s="128">
        <f t="shared" ref="H17:I17" si="6">SUM(H12:H16)</f>
        <v>119960.1</v>
      </c>
      <c r="I17" s="128">
        <f t="shared" si="6"/>
        <v>490039.9</v>
      </c>
      <c r="J17" s="128">
        <f>SUM(J12:J16)</f>
        <v>490039.9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x14ac:dyDescent="0.35">
      <c r="A18" s="28" t="s">
        <v>302</v>
      </c>
      <c r="B18" s="18"/>
      <c r="C18" s="47"/>
      <c r="D18" s="18"/>
      <c r="E18" s="47"/>
      <c r="F18" s="18"/>
      <c r="G18" s="18"/>
      <c r="H18" s="18"/>
      <c r="I18" s="18"/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x14ac:dyDescent="0.35">
      <c r="A19" s="16" t="s">
        <v>204</v>
      </c>
      <c r="B19" s="18">
        <v>720000</v>
      </c>
      <c r="C19" s="47" t="s">
        <v>372</v>
      </c>
      <c r="D19" s="18">
        <v>180000</v>
      </c>
      <c r="E19" s="47"/>
      <c r="F19" s="18"/>
      <c r="G19" s="18">
        <f>B19+D19-F19</f>
        <v>900000</v>
      </c>
      <c r="H19" s="18">
        <f>G19-I19</f>
        <v>51145.839999999967</v>
      </c>
      <c r="I19" s="18">
        <f>SUM(J19)</f>
        <v>848854.16</v>
      </c>
      <c r="J19" s="18">
        <v>848854.16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x14ac:dyDescent="0.35">
      <c r="A20" s="127"/>
      <c r="B20" s="128">
        <f>SUM(B19)</f>
        <v>720000</v>
      </c>
      <c r="C20" s="129"/>
      <c r="D20" s="128">
        <f>SUM(D19)</f>
        <v>180000</v>
      </c>
      <c r="E20" s="129"/>
      <c r="F20" s="128">
        <f>SUM(F19)</f>
        <v>0</v>
      </c>
      <c r="G20" s="128">
        <f>SUM(G19)</f>
        <v>900000</v>
      </c>
      <c r="H20" s="128">
        <f t="shared" ref="H20:J20" si="7">SUM(H19)</f>
        <v>51145.839999999967</v>
      </c>
      <c r="I20" s="128">
        <f t="shared" si="7"/>
        <v>848854.16</v>
      </c>
      <c r="J20" s="128">
        <f t="shared" si="7"/>
        <v>848854.16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x14ac:dyDescent="0.35">
      <c r="A21" s="51" t="s">
        <v>239</v>
      </c>
      <c r="B21" s="21"/>
      <c r="C21" s="50"/>
      <c r="D21" s="21"/>
      <c r="E21" s="50"/>
      <c r="F21" s="21"/>
      <c r="G21" s="21"/>
      <c r="H21" s="21"/>
      <c r="I21" s="21"/>
      <c r="J21" s="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x14ac:dyDescent="0.35">
      <c r="A22" s="20" t="s">
        <v>337</v>
      </c>
      <c r="B22" s="21"/>
      <c r="C22" s="50" t="s">
        <v>221</v>
      </c>
      <c r="D22" s="21">
        <v>20000</v>
      </c>
      <c r="E22" s="50"/>
      <c r="F22" s="21"/>
      <c r="G22" s="18">
        <f>B22+D22-F22</f>
        <v>20000</v>
      </c>
      <c r="H22" s="18">
        <f>G22-I22</f>
        <v>0</v>
      </c>
      <c r="I22" s="21">
        <f>SUM(J22)</f>
        <v>20000</v>
      </c>
      <c r="J22" s="21">
        <v>20000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x14ac:dyDescent="0.35">
      <c r="A23" s="127"/>
      <c r="B23" s="128"/>
      <c r="C23" s="129"/>
      <c r="D23" s="128">
        <f>SUM(D22)</f>
        <v>20000</v>
      </c>
      <c r="E23" s="129"/>
      <c r="F23" s="128">
        <f>SUM(F22)</f>
        <v>0</v>
      </c>
      <c r="G23" s="128">
        <f>SUM(G22)</f>
        <v>20000</v>
      </c>
      <c r="H23" s="128">
        <f t="shared" ref="H23:J23" si="8">SUM(H22)</f>
        <v>0</v>
      </c>
      <c r="I23" s="128">
        <f t="shared" si="8"/>
        <v>20000</v>
      </c>
      <c r="J23" s="128">
        <f t="shared" si="8"/>
        <v>20000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x14ac:dyDescent="0.35">
      <c r="A24" s="138" t="s">
        <v>21</v>
      </c>
      <c r="B24" s="139">
        <f>B10+B17+B20</f>
        <v>1658000</v>
      </c>
      <c r="C24" s="135"/>
      <c r="D24" s="139">
        <f>D10+D17+D20+D23</f>
        <v>316000</v>
      </c>
      <c r="E24" s="135"/>
      <c r="F24" s="139">
        <f>F10+F17+F20+F23</f>
        <v>47550</v>
      </c>
      <c r="G24" s="139">
        <f>G10+G17+G20+G23</f>
        <v>1926450</v>
      </c>
      <c r="H24" s="139">
        <f t="shared" ref="H24:J24" si="9">H10+H17+H20+H23</f>
        <v>200663.43999999997</v>
      </c>
      <c r="I24" s="139">
        <f t="shared" si="9"/>
        <v>1725786.56</v>
      </c>
      <c r="J24" s="139">
        <f t="shared" si="9"/>
        <v>1725786.56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</sheetData>
  <mergeCells count="3">
    <mergeCell ref="A1:J1"/>
    <mergeCell ref="A2:J2"/>
    <mergeCell ref="A3:J3"/>
  </mergeCells>
  <pageMargins left="0.86614173228346458" right="0.19685039370078741" top="0.31496062992125984" bottom="0.23622047244094491" header="0.31496062992125984" footer="0.23622047244094491"/>
  <pageSetup paperSize="5" scale="95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3"/>
  <sheetViews>
    <sheetView view="pageBreakPreview" zoomScaleSheetLayoutView="100" workbookViewId="0">
      <selection activeCell="F8" sqref="F8"/>
    </sheetView>
  </sheetViews>
  <sheetFormatPr defaultRowHeight="13.8" x14ac:dyDescent="0.25"/>
  <cols>
    <col min="1" max="1" width="55.3984375" customWidth="1"/>
    <col min="2" max="2" width="12.69921875" customWidth="1"/>
    <col min="3" max="3" width="2.19921875" customWidth="1"/>
    <col min="4" max="4" width="11.59765625" customWidth="1"/>
    <col min="5" max="5" width="2.19921875" customWidth="1"/>
    <col min="6" max="6" width="11.19921875" customWidth="1"/>
    <col min="7" max="7" width="11.5" customWidth="1"/>
    <col min="8" max="8" width="12.59765625" customWidth="1"/>
    <col min="9" max="9" width="12.19921875" customWidth="1"/>
    <col min="10" max="10" width="11.8984375" customWidth="1"/>
    <col min="11" max="11" width="11.59765625" customWidth="1"/>
    <col min="12" max="12" width="2.5" customWidth="1"/>
  </cols>
  <sheetData>
    <row r="1" spans="1:23" ht="18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">
        <v>18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x14ac:dyDescent="0.35">
      <c r="A2" s="174" t="s">
        <v>31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x14ac:dyDescent="0.35">
      <c r="A3" s="174" t="s">
        <v>241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" x14ac:dyDescent="0.35">
      <c r="A4" s="6"/>
      <c r="B4" s="8"/>
      <c r="C4" s="3"/>
      <c r="D4" s="10"/>
      <c r="E4" s="3"/>
      <c r="F4" s="10"/>
      <c r="G4" s="12" t="s">
        <v>2</v>
      </c>
      <c r="H4" s="13" t="s">
        <v>6</v>
      </c>
      <c r="I4" s="12" t="s">
        <v>7</v>
      </c>
      <c r="J4" s="175" t="s">
        <v>8</v>
      </c>
      <c r="K4" s="17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" x14ac:dyDescent="0.35">
      <c r="A5" s="7" t="s">
        <v>11</v>
      </c>
      <c r="B5" s="9" t="s">
        <v>2</v>
      </c>
      <c r="C5" s="4"/>
      <c r="D5" s="11" t="s">
        <v>3</v>
      </c>
      <c r="E5" s="4"/>
      <c r="F5" s="11" t="s">
        <v>4</v>
      </c>
      <c r="G5" s="9" t="s">
        <v>5</v>
      </c>
      <c r="H5" s="9" t="s">
        <v>2</v>
      </c>
      <c r="I5" s="14"/>
      <c r="J5" s="15" t="s">
        <v>9</v>
      </c>
      <c r="K5" s="15" t="s">
        <v>23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" x14ac:dyDescent="0.35">
      <c r="A6" s="95" t="s">
        <v>278</v>
      </c>
      <c r="B6" s="18"/>
      <c r="C6" s="47"/>
      <c r="D6" s="18"/>
      <c r="E6" s="47"/>
      <c r="F6" s="18"/>
      <c r="G6" s="18"/>
      <c r="H6" s="18"/>
      <c r="I6" s="18"/>
      <c r="J6" s="18"/>
      <c r="K6" s="1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 x14ac:dyDescent="0.35">
      <c r="A7" s="16" t="s">
        <v>12</v>
      </c>
      <c r="B7" s="18">
        <v>642060</v>
      </c>
      <c r="C7" s="47"/>
      <c r="D7" s="18"/>
      <c r="E7" s="47" t="s">
        <v>380</v>
      </c>
      <c r="F7" s="18">
        <f>29630+20959</f>
        <v>50589</v>
      </c>
      <c r="G7" s="18">
        <f>B7+D7-F7</f>
        <v>591471</v>
      </c>
      <c r="H7" s="18">
        <f>G7-I7</f>
        <v>1097</v>
      </c>
      <c r="I7" s="18">
        <f>J7</f>
        <v>590374</v>
      </c>
      <c r="J7" s="18">
        <v>590374</v>
      </c>
      <c r="K7" s="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x14ac:dyDescent="0.35">
      <c r="A8" s="16" t="s">
        <v>211</v>
      </c>
      <c r="B8" s="18">
        <v>99840</v>
      </c>
      <c r="C8" s="47"/>
      <c r="D8" s="18"/>
      <c r="E8" s="47" t="s">
        <v>381</v>
      </c>
      <c r="F8" s="18">
        <v>40710</v>
      </c>
      <c r="G8" s="18">
        <f t="shared" ref="G8:G10" si="0">B8+D8-F8</f>
        <v>59130</v>
      </c>
      <c r="H8" s="18">
        <f t="shared" ref="H8:H10" si="1">G8-I8</f>
        <v>0</v>
      </c>
      <c r="I8" s="18">
        <f>J8</f>
        <v>59130</v>
      </c>
      <c r="J8" s="18">
        <v>59130</v>
      </c>
      <c r="K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" x14ac:dyDescent="0.35">
      <c r="A9" s="16" t="s">
        <v>194</v>
      </c>
      <c r="B9" s="18">
        <v>209640</v>
      </c>
      <c r="C9" s="59" t="s">
        <v>372</v>
      </c>
      <c r="D9" s="18">
        <v>29630</v>
      </c>
      <c r="E9" s="47"/>
      <c r="F9" s="18"/>
      <c r="G9" s="18">
        <f t="shared" si="0"/>
        <v>239270</v>
      </c>
      <c r="H9" s="18">
        <f t="shared" si="1"/>
        <v>0</v>
      </c>
      <c r="I9" s="18">
        <f>J9</f>
        <v>239270</v>
      </c>
      <c r="J9" s="18">
        <v>239270</v>
      </c>
      <c r="K9" s="1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" x14ac:dyDescent="0.35">
      <c r="A10" s="16" t="s">
        <v>212</v>
      </c>
      <c r="B10" s="18">
        <v>114360</v>
      </c>
      <c r="C10" s="59"/>
      <c r="D10" s="18"/>
      <c r="E10" s="47" t="s">
        <v>403</v>
      </c>
      <c r="F10" s="18">
        <v>6900</v>
      </c>
      <c r="G10" s="18">
        <f t="shared" si="0"/>
        <v>107460</v>
      </c>
      <c r="H10" s="18">
        <f t="shared" si="1"/>
        <v>1130</v>
      </c>
      <c r="I10" s="18">
        <f>J10</f>
        <v>106330</v>
      </c>
      <c r="J10" s="18">
        <v>106330</v>
      </c>
      <c r="K10" s="1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" x14ac:dyDescent="0.35">
      <c r="A11" s="127"/>
      <c r="B11" s="128">
        <f>SUM(B7:B10)</f>
        <v>1065900</v>
      </c>
      <c r="C11" s="129"/>
      <c r="D11" s="128">
        <f>SUM(D7:D10)</f>
        <v>29630</v>
      </c>
      <c r="E11" s="129"/>
      <c r="F11" s="128">
        <f>SUM(F7:F10)</f>
        <v>98199</v>
      </c>
      <c r="G11" s="128">
        <f>SUM(G7:G10)</f>
        <v>997331</v>
      </c>
      <c r="H11" s="128">
        <f>SUM(H7:H10)</f>
        <v>2227</v>
      </c>
      <c r="I11" s="128">
        <f>SUM(I7:I10)</f>
        <v>995104</v>
      </c>
      <c r="J11" s="128">
        <f>SUM(J7:J10)</f>
        <v>995104</v>
      </c>
      <c r="K11" s="128">
        <f t="shared" ref="K11" si="2">SUM(K7:K10)</f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" x14ac:dyDescent="0.35">
      <c r="A12" s="28" t="s">
        <v>114</v>
      </c>
      <c r="B12" s="18"/>
      <c r="C12" s="47"/>
      <c r="D12" s="18"/>
      <c r="E12" s="47"/>
      <c r="F12" s="18"/>
      <c r="G12" s="18"/>
      <c r="H12" s="18"/>
      <c r="I12" s="18"/>
      <c r="J12" s="18"/>
      <c r="K12" s="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" x14ac:dyDescent="0.35">
      <c r="A13" s="16" t="s">
        <v>13</v>
      </c>
      <c r="B13" s="18">
        <v>10000</v>
      </c>
      <c r="C13" s="47"/>
      <c r="D13" s="18"/>
      <c r="E13" s="47" t="s">
        <v>405</v>
      </c>
      <c r="F13" s="18">
        <f>5271+4700</f>
        <v>9971</v>
      </c>
      <c r="G13" s="18">
        <f t="shared" ref="G13:G15" si="3">B13+D13-F13</f>
        <v>29</v>
      </c>
      <c r="H13" s="18">
        <f>G13-I13</f>
        <v>29</v>
      </c>
      <c r="I13" s="63"/>
      <c r="J13" s="63" t="s">
        <v>222</v>
      </c>
      <c r="K13" s="1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" x14ac:dyDescent="0.35">
      <c r="A14" s="16" t="s">
        <v>14</v>
      </c>
      <c r="B14" s="18">
        <v>5000</v>
      </c>
      <c r="C14" s="47"/>
      <c r="D14" s="18"/>
      <c r="E14" s="47" t="s">
        <v>403</v>
      </c>
      <c r="F14" s="18">
        <v>3700</v>
      </c>
      <c r="G14" s="18">
        <f t="shared" si="3"/>
        <v>1300</v>
      </c>
      <c r="H14" s="18">
        <f>G14-I14</f>
        <v>0</v>
      </c>
      <c r="I14" s="18">
        <f>J14</f>
        <v>1300</v>
      </c>
      <c r="J14" s="18">
        <v>1300</v>
      </c>
      <c r="K14" s="1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" x14ac:dyDescent="0.35">
      <c r="A15" s="16" t="s">
        <v>196</v>
      </c>
      <c r="B15" s="18">
        <v>5000</v>
      </c>
      <c r="C15" s="47"/>
      <c r="D15" s="18"/>
      <c r="E15" s="47" t="s">
        <v>372</v>
      </c>
      <c r="F15" s="18">
        <v>2574</v>
      </c>
      <c r="G15" s="18">
        <f t="shared" si="3"/>
        <v>2426</v>
      </c>
      <c r="H15" s="18">
        <f>G15-I15</f>
        <v>2426</v>
      </c>
      <c r="I15" s="63"/>
      <c r="J15" s="63" t="s">
        <v>222</v>
      </c>
      <c r="K15" s="1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" x14ac:dyDescent="0.35">
      <c r="A16" s="127"/>
      <c r="B16" s="128">
        <f>SUM(B13:B15)</f>
        <v>20000</v>
      </c>
      <c r="C16" s="129"/>
      <c r="D16" s="128">
        <f>SUM(D13:D15)</f>
        <v>0</v>
      </c>
      <c r="E16" s="129"/>
      <c r="F16" s="128">
        <f>SUM(F13:F15)</f>
        <v>16245</v>
      </c>
      <c r="G16" s="128">
        <f>SUM(G13:G15)</f>
        <v>3755</v>
      </c>
      <c r="H16" s="128">
        <f>SUM(H13:H15)</f>
        <v>2455</v>
      </c>
      <c r="I16" s="128">
        <f>SUM(I13:I15)</f>
        <v>1300</v>
      </c>
      <c r="J16" s="128">
        <f>SUM(J13:J15)</f>
        <v>1300</v>
      </c>
      <c r="K16" s="128">
        <f t="shared" ref="K16" si="4">SUM(K13:K15)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x14ac:dyDescent="0.35">
      <c r="A17" s="28" t="s">
        <v>115</v>
      </c>
      <c r="B17" s="18"/>
      <c r="C17" s="47"/>
      <c r="D17" s="18"/>
      <c r="E17" s="47"/>
      <c r="F17" s="18"/>
      <c r="G17" s="18"/>
      <c r="H17" s="18"/>
      <c r="I17" s="18"/>
      <c r="J17" s="18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x14ac:dyDescent="0.35">
      <c r="A18" s="16" t="s">
        <v>279</v>
      </c>
      <c r="B18" s="18">
        <v>10000</v>
      </c>
      <c r="C18" s="47" t="s">
        <v>398</v>
      </c>
      <c r="D18" s="18">
        <v>10000</v>
      </c>
      <c r="E18" s="47" t="s">
        <v>403</v>
      </c>
      <c r="F18" s="18">
        <v>6000</v>
      </c>
      <c r="G18" s="18">
        <f t="shared" ref="G18:G27" si="5">B18+D18-F18</f>
        <v>14000</v>
      </c>
      <c r="H18" s="18">
        <f>G18-I18</f>
        <v>9650</v>
      </c>
      <c r="I18" s="63">
        <f>J18</f>
        <v>4350</v>
      </c>
      <c r="J18" s="63">
        <v>4350</v>
      </c>
      <c r="K18" s="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" x14ac:dyDescent="0.35">
      <c r="A19" s="16" t="s">
        <v>280</v>
      </c>
      <c r="B19" s="18">
        <v>240000</v>
      </c>
      <c r="C19" s="47"/>
      <c r="D19" s="18"/>
      <c r="E19" s="47" t="s">
        <v>406</v>
      </c>
      <c r="F19" s="18">
        <f>45000+105000</f>
        <v>150000</v>
      </c>
      <c r="G19" s="18">
        <f>B19+D19-F19</f>
        <v>90000</v>
      </c>
      <c r="H19" s="21">
        <f>G19-I19</f>
        <v>0</v>
      </c>
      <c r="I19" s="63">
        <f>J19</f>
        <v>90000</v>
      </c>
      <c r="J19" s="63">
        <v>90000</v>
      </c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x14ac:dyDescent="0.35">
      <c r="A20" s="22" t="s">
        <v>281</v>
      </c>
      <c r="B20" s="18">
        <v>469500</v>
      </c>
      <c r="C20" s="47"/>
      <c r="D20" s="18"/>
      <c r="E20" s="60" t="s">
        <v>401</v>
      </c>
      <c r="F20" s="18">
        <f>60000+60000+50000+53600+148200</f>
        <v>371800</v>
      </c>
      <c r="G20" s="18">
        <f t="shared" si="5"/>
        <v>97700</v>
      </c>
      <c r="H20" s="18">
        <f>G20-I20</f>
        <v>21932</v>
      </c>
      <c r="I20" s="63">
        <f>J20</f>
        <v>75768</v>
      </c>
      <c r="J20" s="63">
        <v>75768</v>
      </c>
      <c r="K20" s="1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x14ac:dyDescent="0.35">
      <c r="A21" s="16" t="s">
        <v>243</v>
      </c>
      <c r="B21" s="18">
        <v>5000</v>
      </c>
      <c r="C21" s="47"/>
      <c r="D21" s="18"/>
      <c r="E21" s="47"/>
      <c r="F21" s="18"/>
      <c r="G21" s="18">
        <f t="shared" si="5"/>
        <v>5000</v>
      </c>
      <c r="H21" s="18">
        <f>G21-I21</f>
        <v>5000</v>
      </c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x14ac:dyDescent="0.35">
      <c r="A22" s="16" t="s">
        <v>160</v>
      </c>
      <c r="B22" s="18">
        <v>30000</v>
      </c>
      <c r="C22" s="47" t="s">
        <v>372</v>
      </c>
      <c r="D22" s="18">
        <v>33600</v>
      </c>
      <c r="E22" s="47" t="s">
        <v>398</v>
      </c>
      <c r="F22" s="18">
        <v>10000</v>
      </c>
      <c r="G22" s="18">
        <f t="shared" si="5"/>
        <v>53600</v>
      </c>
      <c r="H22" s="18">
        <f>G22-I22</f>
        <v>40284</v>
      </c>
      <c r="I22" s="18">
        <f>J22</f>
        <v>13316</v>
      </c>
      <c r="J22" s="18">
        <f>3716+9600</f>
        <v>13316</v>
      </c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x14ac:dyDescent="0.35">
      <c r="A23" s="16" t="s">
        <v>169</v>
      </c>
      <c r="B23" s="18">
        <v>30000</v>
      </c>
      <c r="C23" s="47"/>
      <c r="D23" s="18"/>
      <c r="E23" s="47" t="s">
        <v>413</v>
      </c>
      <c r="F23" s="18">
        <f>20000+10000</f>
        <v>30000</v>
      </c>
      <c r="G23" s="18">
        <f t="shared" si="5"/>
        <v>0</v>
      </c>
      <c r="H23" s="63" t="s">
        <v>222</v>
      </c>
      <c r="I23" s="63" t="str">
        <f t="shared" ref="I23:I27" si="6">J23</f>
        <v>-</v>
      </c>
      <c r="J23" s="63" t="s">
        <v>222</v>
      </c>
      <c r="K23" s="6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 x14ac:dyDescent="0.35">
      <c r="A24" s="16" t="s">
        <v>26</v>
      </c>
      <c r="B24" s="18">
        <v>25000</v>
      </c>
      <c r="C24" s="47"/>
      <c r="D24" s="18"/>
      <c r="E24" s="47" t="s">
        <v>381</v>
      </c>
      <c r="F24" s="18">
        <v>25000</v>
      </c>
      <c r="G24" s="18">
        <f t="shared" si="5"/>
        <v>0</v>
      </c>
      <c r="H24" s="18">
        <f t="shared" ref="H24:H27" si="7">G24-I24</f>
        <v>0</v>
      </c>
      <c r="I24" s="18">
        <f t="shared" si="6"/>
        <v>0</v>
      </c>
      <c r="J24" s="18"/>
      <c r="K24" s="63" t="s">
        <v>222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x14ac:dyDescent="0.35">
      <c r="A25" s="20" t="s">
        <v>213</v>
      </c>
      <c r="B25" s="21">
        <v>30000</v>
      </c>
      <c r="C25" s="50"/>
      <c r="D25" s="21"/>
      <c r="E25" s="50" t="s">
        <v>381</v>
      </c>
      <c r="F25" s="21">
        <v>30000</v>
      </c>
      <c r="G25" s="18">
        <f t="shared" si="5"/>
        <v>0</v>
      </c>
      <c r="H25" s="18">
        <f t="shared" si="7"/>
        <v>0</v>
      </c>
      <c r="I25" s="18">
        <f t="shared" si="6"/>
        <v>0</v>
      </c>
      <c r="J25" s="21"/>
      <c r="K25" s="64" t="s">
        <v>222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" x14ac:dyDescent="0.35">
      <c r="A26" s="22" t="s">
        <v>284</v>
      </c>
      <c r="B26" s="21">
        <v>20000</v>
      </c>
      <c r="C26" s="50"/>
      <c r="D26" s="21"/>
      <c r="E26" s="50" t="s">
        <v>381</v>
      </c>
      <c r="F26" s="21">
        <v>20000</v>
      </c>
      <c r="G26" s="18">
        <f t="shared" si="5"/>
        <v>0</v>
      </c>
      <c r="H26" s="18">
        <f t="shared" si="7"/>
        <v>0</v>
      </c>
      <c r="I26" s="18">
        <f t="shared" si="6"/>
        <v>0</v>
      </c>
      <c r="J26" s="21"/>
      <c r="K26" s="64" t="s">
        <v>222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" x14ac:dyDescent="0.35">
      <c r="A27" s="16" t="s">
        <v>214</v>
      </c>
      <c r="B27" s="18">
        <v>20000</v>
      </c>
      <c r="C27" s="50"/>
      <c r="D27" s="21"/>
      <c r="E27" s="50" t="s">
        <v>381</v>
      </c>
      <c r="F27" s="21">
        <v>20000</v>
      </c>
      <c r="G27" s="18">
        <f t="shared" si="5"/>
        <v>0</v>
      </c>
      <c r="H27" s="18">
        <f t="shared" si="7"/>
        <v>0</v>
      </c>
      <c r="I27" s="18">
        <f t="shared" si="6"/>
        <v>0</v>
      </c>
      <c r="J27" s="21"/>
      <c r="K27" s="64" t="s">
        <v>222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" x14ac:dyDescent="0.35">
      <c r="A28" s="127"/>
      <c r="B28" s="128">
        <f>SUM(B18:B27)</f>
        <v>879500</v>
      </c>
      <c r="C28" s="129"/>
      <c r="D28" s="128">
        <f>SUM(D18:D27)</f>
        <v>43600</v>
      </c>
      <c r="E28" s="129"/>
      <c r="F28" s="128">
        <f>SUM(F18:F27)</f>
        <v>662800</v>
      </c>
      <c r="G28" s="128">
        <f>SUM(G18:G27)</f>
        <v>260300</v>
      </c>
      <c r="H28" s="128">
        <f>SUM(H18:H27)</f>
        <v>76866</v>
      </c>
      <c r="I28" s="128">
        <f>SUM(I18:I27)</f>
        <v>183434</v>
      </c>
      <c r="J28" s="128">
        <f>SUM(J18:J27)</f>
        <v>183434</v>
      </c>
      <c r="K28" s="128">
        <f t="shared" ref="K28" si="8">SUM(K18:K27)</f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" x14ac:dyDescent="0.35">
      <c r="A29" s="28" t="s">
        <v>116</v>
      </c>
      <c r="B29" s="18"/>
      <c r="C29" s="47"/>
      <c r="D29" s="18"/>
      <c r="E29" s="47"/>
      <c r="F29" s="18"/>
      <c r="G29" s="18"/>
      <c r="H29" s="18"/>
      <c r="I29" s="18"/>
      <c r="J29" s="18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" x14ac:dyDescent="0.35">
      <c r="A30" s="16" t="s">
        <v>27</v>
      </c>
      <c r="B30" s="18">
        <v>150000</v>
      </c>
      <c r="C30" s="47"/>
      <c r="D30" s="18"/>
      <c r="E30" s="47" t="s">
        <v>398</v>
      </c>
      <c r="F30" s="18">
        <v>55300</v>
      </c>
      <c r="G30" s="18">
        <f t="shared" ref="G30:G33" si="9">B30+D30-F30</f>
        <v>94700</v>
      </c>
      <c r="H30" s="18">
        <f>G30-I30</f>
        <v>0</v>
      </c>
      <c r="I30" s="18">
        <f>J30</f>
        <v>94700</v>
      </c>
      <c r="J30" s="18">
        <v>94700</v>
      </c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" x14ac:dyDescent="0.35">
      <c r="A31" s="22" t="s">
        <v>28</v>
      </c>
      <c r="B31" s="18">
        <v>626000</v>
      </c>
      <c r="C31" s="47"/>
      <c r="D31" s="18"/>
      <c r="E31" s="47" t="s">
        <v>402</v>
      </c>
      <c r="F31" s="18">
        <f>156000+389000</f>
        <v>545000</v>
      </c>
      <c r="G31" s="18">
        <f t="shared" si="9"/>
        <v>81000</v>
      </c>
      <c r="H31" s="18">
        <f>G31-I31</f>
        <v>4212</v>
      </c>
      <c r="I31" s="18">
        <f t="shared" ref="I31:I33" si="10">J31</f>
        <v>76788</v>
      </c>
      <c r="J31" s="18">
        <v>76788</v>
      </c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" x14ac:dyDescent="0.35">
      <c r="A32" s="22" t="s">
        <v>366</v>
      </c>
      <c r="B32" s="18"/>
      <c r="C32" s="47" t="s">
        <v>365</v>
      </c>
      <c r="D32" s="18">
        <v>50000</v>
      </c>
      <c r="E32" s="47" t="s">
        <v>398</v>
      </c>
      <c r="F32" s="18">
        <v>46000</v>
      </c>
      <c r="G32" s="18">
        <f t="shared" si="9"/>
        <v>4000</v>
      </c>
      <c r="H32" s="18">
        <f>G32-I32</f>
        <v>820</v>
      </c>
      <c r="I32" s="18">
        <f t="shared" si="10"/>
        <v>3180</v>
      </c>
      <c r="J32" s="18">
        <v>3180</v>
      </c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" x14ac:dyDescent="0.35">
      <c r="A33" s="22" t="s">
        <v>377</v>
      </c>
      <c r="B33" s="18"/>
      <c r="C33" s="47" t="s">
        <v>372</v>
      </c>
      <c r="D33" s="18">
        <v>20000</v>
      </c>
      <c r="E33" s="47"/>
      <c r="F33" s="18"/>
      <c r="G33" s="18">
        <f t="shared" si="9"/>
        <v>20000</v>
      </c>
      <c r="H33" s="18">
        <f>G33-I33</f>
        <v>16000</v>
      </c>
      <c r="I33" s="18">
        <f t="shared" si="10"/>
        <v>4000</v>
      </c>
      <c r="J33" s="18">
        <v>4000</v>
      </c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" x14ac:dyDescent="0.35">
      <c r="A34" s="127"/>
      <c r="B34" s="128">
        <f>SUM(B30:B31)</f>
        <v>776000</v>
      </c>
      <c r="C34" s="129"/>
      <c r="D34" s="128">
        <f>SUM(D30:D33)</f>
        <v>70000</v>
      </c>
      <c r="E34" s="129"/>
      <c r="F34" s="128">
        <f t="shared" ref="F34:K34" si="11">SUM(F30:F33)</f>
        <v>646300</v>
      </c>
      <c r="G34" s="128">
        <f t="shared" si="11"/>
        <v>199700</v>
      </c>
      <c r="H34" s="128">
        <f t="shared" si="11"/>
        <v>21032</v>
      </c>
      <c r="I34" s="128">
        <f>SUM(I30:I33)</f>
        <v>178668</v>
      </c>
      <c r="J34" s="128">
        <f>SUM(J30:J33)</f>
        <v>178668</v>
      </c>
      <c r="K34" s="128">
        <f t="shared" si="11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" x14ac:dyDescent="0.35">
      <c r="A35" s="6"/>
      <c r="B35" s="8"/>
      <c r="C35" s="48"/>
      <c r="D35" s="10"/>
      <c r="E35" s="48"/>
      <c r="F35" s="10"/>
      <c r="G35" s="12" t="s">
        <v>2</v>
      </c>
      <c r="H35" s="13" t="s">
        <v>6</v>
      </c>
      <c r="I35" s="12" t="s">
        <v>7</v>
      </c>
      <c r="J35" s="175" t="s">
        <v>8</v>
      </c>
      <c r="K35" s="176"/>
      <c r="L35" s="1">
        <v>19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" x14ac:dyDescent="0.35">
      <c r="A36" s="7" t="s">
        <v>11</v>
      </c>
      <c r="B36" s="9" t="s">
        <v>2</v>
      </c>
      <c r="C36" s="49"/>
      <c r="D36" s="11" t="s">
        <v>3</v>
      </c>
      <c r="E36" s="49"/>
      <c r="F36" s="11" t="s">
        <v>4</v>
      </c>
      <c r="G36" s="9" t="s">
        <v>5</v>
      </c>
      <c r="H36" s="9" t="s">
        <v>2</v>
      </c>
      <c r="I36" s="14"/>
      <c r="J36" s="15" t="s">
        <v>9</v>
      </c>
      <c r="K36" s="15" t="s">
        <v>23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" x14ac:dyDescent="0.35">
      <c r="A37" s="28" t="s">
        <v>118</v>
      </c>
      <c r="B37" s="21"/>
      <c r="C37" s="50"/>
      <c r="D37" s="21"/>
      <c r="E37" s="50"/>
      <c r="F37" s="21"/>
      <c r="G37" s="21"/>
      <c r="H37" s="21"/>
      <c r="I37" s="64"/>
      <c r="J37" s="64"/>
      <c r="K37" s="2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" x14ac:dyDescent="0.35">
      <c r="A38" s="22" t="s">
        <v>29</v>
      </c>
      <c r="B38" s="21">
        <v>60000</v>
      </c>
      <c r="C38" s="50" t="s">
        <v>220</v>
      </c>
      <c r="D38" s="21">
        <v>30000</v>
      </c>
      <c r="E38" s="50"/>
      <c r="F38" s="21"/>
      <c r="G38" s="18">
        <f t="shared" ref="G38:G40" si="12">B38+D38-F38</f>
        <v>90000</v>
      </c>
      <c r="H38" s="21">
        <f>G38-I38</f>
        <v>0</v>
      </c>
      <c r="I38" s="21">
        <f>J38</f>
        <v>90000</v>
      </c>
      <c r="J38" s="21">
        <v>90000</v>
      </c>
      <c r="K38" s="2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" x14ac:dyDescent="0.35">
      <c r="A39" s="22" t="s">
        <v>30</v>
      </c>
      <c r="B39" s="21">
        <v>30000</v>
      </c>
      <c r="C39" s="50" t="s">
        <v>220</v>
      </c>
      <c r="D39" s="21">
        <v>15000</v>
      </c>
      <c r="E39" s="50"/>
      <c r="F39" s="21"/>
      <c r="G39" s="18">
        <f t="shared" si="12"/>
        <v>45000</v>
      </c>
      <c r="H39" s="21">
        <f>G39-I39</f>
        <v>0</v>
      </c>
      <c r="I39" s="21">
        <f t="shared" ref="I39:I40" si="13">J39</f>
        <v>45000</v>
      </c>
      <c r="J39" s="21">
        <v>45000</v>
      </c>
      <c r="K39" s="2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" x14ac:dyDescent="0.35">
      <c r="A40" s="20" t="s">
        <v>215</v>
      </c>
      <c r="B40" s="21">
        <v>10000</v>
      </c>
      <c r="C40" s="50"/>
      <c r="D40" s="21"/>
      <c r="E40" s="50" t="s">
        <v>403</v>
      </c>
      <c r="F40" s="21">
        <v>10000</v>
      </c>
      <c r="G40" s="18">
        <f t="shared" si="12"/>
        <v>0</v>
      </c>
      <c r="H40" s="64" t="s">
        <v>222</v>
      </c>
      <c r="I40" s="64" t="str">
        <f t="shared" si="13"/>
        <v>-</v>
      </c>
      <c r="J40" s="64" t="s">
        <v>222</v>
      </c>
      <c r="K40" s="2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" x14ac:dyDescent="0.35">
      <c r="A41" s="136"/>
      <c r="B41" s="128">
        <f>SUM(B38:B40)</f>
        <v>100000</v>
      </c>
      <c r="C41" s="129"/>
      <c r="D41" s="128">
        <f>SUM(D38:D40)</f>
        <v>45000</v>
      </c>
      <c r="E41" s="129"/>
      <c r="F41" s="128">
        <f t="shared" ref="F41:K41" si="14">SUM(F38:F40)</f>
        <v>10000</v>
      </c>
      <c r="G41" s="128">
        <f t="shared" si="14"/>
        <v>135000</v>
      </c>
      <c r="H41" s="128">
        <f t="shared" si="14"/>
        <v>0</v>
      </c>
      <c r="I41" s="128">
        <f t="shared" si="14"/>
        <v>135000</v>
      </c>
      <c r="J41" s="128">
        <f t="shared" si="14"/>
        <v>135000</v>
      </c>
      <c r="K41" s="128">
        <f t="shared" si="14"/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" x14ac:dyDescent="0.35">
      <c r="A42" s="51" t="s">
        <v>239</v>
      </c>
      <c r="B42" s="21"/>
      <c r="C42" s="50"/>
      <c r="D42" s="21"/>
      <c r="E42" s="50"/>
      <c r="F42" s="21"/>
      <c r="G42" s="21"/>
      <c r="H42" s="21"/>
      <c r="I42" s="21"/>
      <c r="J42" s="21"/>
      <c r="K42" s="2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" x14ac:dyDescent="0.35">
      <c r="A43" s="27" t="s">
        <v>282</v>
      </c>
      <c r="B43" s="21">
        <v>80000</v>
      </c>
      <c r="C43" s="50"/>
      <c r="D43" s="21"/>
      <c r="E43" s="50"/>
      <c r="F43" s="21"/>
      <c r="G43" s="18">
        <f t="shared" ref="G43:G44" si="15">B43+D43-F43</f>
        <v>80000</v>
      </c>
      <c r="H43" s="21">
        <f>G43-I43</f>
        <v>11000</v>
      </c>
      <c r="I43" s="21">
        <f>J43</f>
        <v>69000</v>
      </c>
      <c r="J43" s="21">
        <v>69000</v>
      </c>
      <c r="K43" s="2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" x14ac:dyDescent="0.35">
      <c r="A44" s="27" t="s">
        <v>283</v>
      </c>
      <c r="B44" s="21">
        <v>5000</v>
      </c>
      <c r="C44" s="50"/>
      <c r="D44" s="21"/>
      <c r="E44" s="50"/>
      <c r="F44" s="21"/>
      <c r="G44" s="18">
        <f t="shared" si="15"/>
        <v>5000</v>
      </c>
      <c r="H44" s="21">
        <f>G44-I44</f>
        <v>900</v>
      </c>
      <c r="I44" s="21">
        <f>J44</f>
        <v>4100</v>
      </c>
      <c r="J44" s="21">
        <v>4100</v>
      </c>
      <c r="K44" s="2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" x14ac:dyDescent="0.35">
      <c r="A45" s="136"/>
      <c r="B45" s="128">
        <f>SUM(B43:B44)</f>
        <v>85000</v>
      </c>
      <c r="C45" s="129"/>
      <c r="D45" s="128">
        <f>SUM(D43:D44)</f>
        <v>0</v>
      </c>
      <c r="E45" s="129"/>
      <c r="F45" s="128">
        <f>SUM(F43:F44)</f>
        <v>0</v>
      </c>
      <c r="G45" s="128">
        <f>SUM(G43:G44)</f>
        <v>85000</v>
      </c>
      <c r="H45" s="128">
        <f>SUM(H43:H44)</f>
        <v>11900</v>
      </c>
      <c r="I45" s="128">
        <f>SUM(I43:I44)</f>
        <v>73100</v>
      </c>
      <c r="J45" s="128">
        <f>SUM(J43:J44)</f>
        <v>73100</v>
      </c>
      <c r="K45" s="128">
        <f t="shared" ref="K45" si="16">SUM(K43:K44)</f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" x14ac:dyDescent="0.35">
      <c r="A46" s="137" t="s">
        <v>32</v>
      </c>
      <c r="B46" s="133">
        <f>B11+B16+B28+B34+B41+B45</f>
        <v>2926400</v>
      </c>
      <c r="C46" s="134"/>
      <c r="D46" s="133">
        <f>D11+D16+D28+D34+D41+D45</f>
        <v>188230</v>
      </c>
      <c r="E46" s="134"/>
      <c r="F46" s="133">
        <f t="shared" ref="F46:K46" si="17">F11+F16+F28+F34+F41+F45</f>
        <v>1433544</v>
      </c>
      <c r="G46" s="133">
        <f t="shared" si="17"/>
        <v>1681086</v>
      </c>
      <c r="H46" s="133">
        <f t="shared" si="17"/>
        <v>114480</v>
      </c>
      <c r="I46" s="133">
        <f t="shared" si="17"/>
        <v>1566606</v>
      </c>
      <c r="J46" s="133">
        <f t="shared" si="17"/>
        <v>1566606</v>
      </c>
      <c r="K46" s="133">
        <f t="shared" si="17"/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" x14ac:dyDescent="0.35">
      <c r="A47" s="22"/>
      <c r="B47" s="18"/>
      <c r="C47" s="47"/>
      <c r="D47" s="18"/>
      <c r="E47" s="47"/>
      <c r="F47" s="18"/>
      <c r="G47" s="18"/>
      <c r="H47" s="18"/>
      <c r="I47" s="18"/>
      <c r="J47" s="18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" x14ac:dyDescent="0.35">
      <c r="A48" s="22"/>
      <c r="B48" s="18"/>
      <c r="C48" s="47"/>
      <c r="D48" s="18"/>
      <c r="E48" s="47"/>
      <c r="F48" s="18"/>
      <c r="G48" s="18"/>
      <c r="H48" s="18"/>
      <c r="I48" s="18"/>
      <c r="J48" s="18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" x14ac:dyDescent="0.35">
      <c r="A49" s="22"/>
      <c r="B49" s="18"/>
      <c r="C49" s="47"/>
      <c r="D49" s="18"/>
      <c r="E49" s="47"/>
      <c r="F49" s="18"/>
      <c r="G49" s="18"/>
      <c r="H49" s="18"/>
      <c r="I49" s="18"/>
      <c r="J49" s="18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" x14ac:dyDescent="0.35">
      <c r="A50" s="22"/>
      <c r="B50" s="18"/>
      <c r="C50" s="47"/>
      <c r="D50" s="18"/>
      <c r="E50" s="47"/>
      <c r="F50" s="18"/>
      <c r="G50" s="18"/>
      <c r="H50" s="18"/>
      <c r="I50" s="18"/>
      <c r="J50" s="18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" x14ac:dyDescent="0.35">
      <c r="A51" s="2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" x14ac:dyDescent="0.35">
      <c r="A52" s="2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" x14ac:dyDescent="0.35">
      <c r="A53" s="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" x14ac:dyDescent="0.35">
      <c r="A54" s="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" x14ac:dyDescent="0.35">
      <c r="A55" s="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" x14ac:dyDescent="0.35">
      <c r="A56" s="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" x14ac:dyDescent="0.35">
      <c r="A57" s="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" x14ac:dyDescent="0.35">
      <c r="A58" s="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" x14ac:dyDescent="0.35">
      <c r="A59" s="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" x14ac:dyDescent="0.35">
      <c r="A60" s="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" x14ac:dyDescent="0.35">
      <c r="A61" s="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" x14ac:dyDescent="0.35">
      <c r="A62" s="1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" x14ac:dyDescent="0.35">
      <c r="A63" s="1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" x14ac:dyDescent="0.35">
      <c r="A64" s="1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" x14ac:dyDescent="0.35">
      <c r="A65" s="1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" x14ac:dyDescent="0.35">
      <c r="A66" s="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" x14ac:dyDescent="0.35">
      <c r="A67" s="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" x14ac:dyDescent="0.35">
      <c r="A68" s="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" x14ac:dyDescent="0.35">
      <c r="A69" s="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" x14ac:dyDescent="0.35">
      <c r="A70" s="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" x14ac:dyDescent="0.35">
      <c r="A71" s="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" x14ac:dyDescent="0.35">
      <c r="A72" s="1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" x14ac:dyDescent="0.35">
      <c r="A73" s="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" x14ac:dyDescent="0.35">
      <c r="A74" s="1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" x14ac:dyDescent="0.35">
      <c r="A75" s="1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" x14ac:dyDescent="0.35">
      <c r="A76" s="1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" x14ac:dyDescent="0.35">
      <c r="A77" s="1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" x14ac:dyDescent="0.35">
      <c r="A78" s="1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" x14ac:dyDescent="0.35">
      <c r="A79" s="1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" x14ac:dyDescent="0.35">
      <c r="A80" s="1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" x14ac:dyDescent="0.35">
      <c r="A81" s="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" x14ac:dyDescent="0.35">
      <c r="A82" s="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" x14ac:dyDescent="0.35">
      <c r="A83" s="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" x14ac:dyDescent="0.35">
      <c r="A84" s="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" x14ac:dyDescent="0.35">
      <c r="A85" s="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" x14ac:dyDescent="0.35">
      <c r="A86" s="1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" x14ac:dyDescent="0.35">
      <c r="A87" s="1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" x14ac:dyDescent="0.35">
      <c r="A88" s="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" x14ac:dyDescent="0.35">
      <c r="A89" s="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" x14ac:dyDescent="0.35">
      <c r="A90" s="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" x14ac:dyDescent="0.35">
      <c r="A91" s="1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" x14ac:dyDescent="0.35">
      <c r="A92" s="1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" x14ac:dyDescent="0.35">
      <c r="A93" s="1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" x14ac:dyDescent="0.35">
      <c r="A94" s="1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" x14ac:dyDescent="0.35">
      <c r="A95" s="1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" x14ac:dyDescent="0.35">
      <c r="A96" s="1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" x14ac:dyDescent="0.35">
      <c r="A97" s="1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" x14ac:dyDescent="0.35">
      <c r="A98" s="1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" x14ac:dyDescent="0.35">
      <c r="A99" s="1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" x14ac:dyDescent="0.35">
      <c r="A100" s="1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" x14ac:dyDescent="0.35">
      <c r="A101" s="1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" x14ac:dyDescent="0.35">
      <c r="A102" s="1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" x14ac:dyDescent="0.35">
      <c r="A103" s="1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" x14ac:dyDescent="0.35">
      <c r="A104" s="1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" x14ac:dyDescent="0.35">
      <c r="A105" s="1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" x14ac:dyDescent="0.35">
      <c r="A106" s="1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" x14ac:dyDescent="0.35">
      <c r="A107" s="1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" x14ac:dyDescent="0.35">
      <c r="A108" s="1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" x14ac:dyDescent="0.35">
      <c r="A109" s="1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" x14ac:dyDescent="0.35">
      <c r="A110" s="1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" x14ac:dyDescent="0.35">
      <c r="A111" s="1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" x14ac:dyDescent="0.35">
      <c r="A112" s="1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" x14ac:dyDescent="0.35">
      <c r="A113" s="1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</sheetData>
  <mergeCells count="5">
    <mergeCell ref="A1:K1"/>
    <mergeCell ref="A2:K2"/>
    <mergeCell ref="A3:K3"/>
    <mergeCell ref="J4:K4"/>
    <mergeCell ref="J35:K35"/>
  </mergeCells>
  <pageMargins left="0.94488188976377963" right="0.19685039370078741" top="0.31496062992125984" bottom="0.23622047244094491" header="0.31496062992125984" footer="0.23622047244094491"/>
  <pageSetup paperSize="5" scale="90" orientation="landscape" horizontalDpi="4294967293" r:id="rId1"/>
  <rowBreaks count="1" manualBreakCount="1">
    <brk id="34" max="16383" man="1"/>
  </rowBreaks>
  <colBreaks count="1" manualBreakCount="1">
    <brk id="11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6"/>
  <sheetViews>
    <sheetView view="pageBreakPreview" zoomScaleSheetLayoutView="100" workbookViewId="0">
      <selection activeCell="D19" sqref="D19"/>
    </sheetView>
  </sheetViews>
  <sheetFormatPr defaultRowHeight="13.8" x14ac:dyDescent="0.25"/>
  <cols>
    <col min="1" max="1" width="55.3984375" customWidth="1"/>
    <col min="2" max="2" width="14.8984375" customWidth="1"/>
    <col min="3" max="3" width="2.19921875" customWidth="1"/>
    <col min="4" max="4" width="14.5" customWidth="1"/>
    <col min="5" max="5" width="2.69921875" customWidth="1"/>
    <col min="6" max="6" width="12.69921875" customWidth="1"/>
    <col min="7" max="7" width="14" customWidth="1"/>
    <col min="8" max="8" width="13.69921875" customWidth="1"/>
    <col min="9" max="9" width="12.19921875" customWidth="1"/>
    <col min="10" max="10" width="14.3984375" customWidth="1"/>
    <col min="11" max="11" width="2.59765625" customWidth="1"/>
  </cols>
  <sheetData>
    <row r="1" spans="1:22" ht="18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">
        <v>20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x14ac:dyDescent="0.35">
      <c r="A2" s="174" t="s">
        <v>42</v>
      </c>
      <c r="B2" s="174"/>
      <c r="C2" s="174"/>
      <c r="D2" s="174"/>
      <c r="E2" s="174"/>
      <c r="F2" s="174"/>
      <c r="G2" s="174"/>
      <c r="H2" s="174"/>
      <c r="I2" s="174"/>
      <c r="J2" s="17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x14ac:dyDescent="0.35">
      <c r="A3" s="174" t="s">
        <v>241</v>
      </c>
      <c r="B3" s="174"/>
      <c r="C3" s="174"/>
      <c r="D3" s="174"/>
      <c r="E3" s="174"/>
      <c r="F3" s="174"/>
      <c r="G3" s="174"/>
      <c r="H3" s="174"/>
      <c r="I3" s="174"/>
      <c r="J3" s="17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x14ac:dyDescent="0.35">
      <c r="A4" s="6"/>
      <c r="B4" s="8"/>
      <c r="C4" s="8"/>
      <c r="D4" s="10"/>
      <c r="E4" s="55"/>
      <c r="F4" s="10"/>
      <c r="G4" s="12" t="s">
        <v>2</v>
      </c>
      <c r="H4" s="13" t="s">
        <v>6</v>
      </c>
      <c r="I4" s="31" t="s">
        <v>7</v>
      </c>
      <c r="J4" s="12" t="s">
        <v>34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x14ac:dyDescent="0.35">
      <c r="A5" s="7" t="s">
        <v>11</v>
      </c>
      <c r="B5" s="9" t="s">
        <v>2</v>
      </c>
      <c r="C5" s="33"/>
      <c r="D5" s="11" t="s">
        <v>3</v>
      </c>
      <c r="E5" s="56"/>
      <c r="F5" s="11" t="s">
        <v>4</v>
      </c>
      <c r="G5" s="9" t="s">
        <v>5</v>
      </c>
      <c r="H5" s="9" t="s">
        <v>2</v>
      </c>
      <c r="I5" s="32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8" x14ac:dyDescent="0.35">
      <c r="A6" s="34" t="s">
        <v>33</v>
      </c>
      <c r="B6" s="18"/>
      <c r="C6" s="47"/>
      <c r="D6" s="18"/>
      <c r="E6" s="47"/>
      <c r="F6" s="18"/>
      <c r="G6" s="18"/>
      <c r="H6" s="18"/>
      <c r="I6" s="18"/>
      <c r="J6" s="3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x14ac:dyDescent="0.35">
      <c r="A7" s="16" t="s">
        <v>36</v>
      </c>
      <c r="B7" s="18">
        <v>360000</v>
      </c>
      <c r="C7" s="47" t="s">
        <v>219</v>
      </c>
      <c r="D7" s="18">
        <v>30000</v>
      </c>
      <c r="E7" s="47"/>
      <c r="F7" s="18"/>
      <c r="G7" s="18">
        <f>B7+D7-F7</f>
        <v>390000</v>
      </c>
      <c r="H7" s="18">
        <f>G7-I7</f>
        <v>738</v>
      </c>
      <c r="I7" s="18">
        <f>SUM(J7)</f>
        <v>389262</v>
      </c>
      <c r="J7" s="18">
        <v>389262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x14ac:dyDescent="0.35">
      <c r="A8" s="16" t="s">
        <v>37</v>
      </c>
      <c r="B8" s="18">
        <v>379000</v>
      </c>
      <c r="C8" s="47"/>
      <c r="D8" s="18"/>
      <c r="E8" s="47"/>
      <c r="F8" s="18"/>
      <c r="G8" s="18">
        <f t="shared" ref="G8:G16" si="0">B8+D8-F8</f>
        <v>379000</v>
      </c>
      <c r="H8" s="18">
        <f t="shared" ref="H8:H17" si="1">G8-I8</f>
        <v>160607</v>
      </c>
      <c r="I8" s="18">
        <f t="shared" ref="I8:I17" si="2">SUM(J8)</f>
        <v>218393</v>
      </c>
      <c r="J8" s="18">
        <v>218393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x14ac:dyDescent="0.35">
      <c r="A9" s="16" t="s">
        <v>38</v>
      </c>
      <c r="B9" s="18">
        <v>12000</v>
      </c>
      <c r="C9" s="47"/>
      <c r="D9" s="18"/>
      <c r="E9" s="47" t="s">
        <v>372</v>
      </c>
      <c r="F9" s="18">
        <v>8712</v>
      </c>
      <c r="G9" s="18">
        <f t="shared" si="0"/>
        <v>3288</v>
      </c>
      <c r="H9" s="18">
        <f t="shared" si="1"/>
        <v>0</v>
      </c>
      <c r="I9" s="18">
        <f t="shared" si="2"/>
        <v>3288</v>
      </c>
      <c r="J9" s="18">
        <v>3288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8" x14ac:dyDescent="0.35">
      <c r="A10" s="16" t="s">
        <v>39</v>
      </c>
      <c r="B10" s="18">
        <v>30000</v>
      </c>
      <c r="C10" s="47"/>
      <c r="D10" s="18"/>
      <c r="E10" s="47"/>
      <c r="F10" s="18"/>
      <c r="G10" s="18">
        <f t="shared" si="0"/>
        <v>30000</v>
      </c>
      <c r="H10" s="18">
        <f t="shared" si="1"/>
        <v>4074.2400000000016</v>
      </c>
      <c r="I10" s="18">
        <f t="shared" si="2"/>
        <v>25925.759999999998</v>
      </c>
      <c r="J10" s="18">
        <v>25925.759999999998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8" x14ac:dyDescent="0.35">
      <c r="A11" s="16" t="s">
        <v>108</v>
      </c>
      <c r="B11" s="18">
        <v>60000</v>
      </c>
      <c r="C11" s="47"/>
      <c r="D11" s="18"/>
      <c r="E11" s="47"/>
      <c r="F11" s="18"/>
      <c r="G11" s="18">
        <f t="shared" si="0"/>
        <v>60000</v>
      </c>
      <c r="H11" s="18">
        <f t="shared" si="1"/>
        <v>12000</v>
      </c>
      <c r="I11" s="18">
        <f t="shared" si="2"/>
        <v>48000</v>
      </c>
      <c r="J11" s="18">
        <v>48000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8" x14ac:dyDescent="0.35">
      <c r="A12" s="16" t="s">
        <v>35</v>
      </c>
      <c r="B12" s="18">
        <v>35000</v>
      </c>
      <c r="C12" s="47"/>
      <c r="D12" s="18"/>
      <c r="E12" s="47"/>
      <c r="F12" s="18"/>
      <c r="G12" s="18">
        <f t="shared" si="0"/>
        <v>35000</v>
      </c>
      <c r="H12" s="18">
        <f t="shared" si="1"/>
        <v>485.06999999999971</v>
      </c>
      <c r="I12" s="18">
        <f t="shared" si="2"/>
        <v>34514.93</v>
      </c>
      <c r="J12" s="18">
        <v>34514.93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8" x14ac:dyDescent="0.35">
      <c r="A13" s="16" t="s">
        <v>152</v>
      </c>
      <c r="B13" s="18">
        <v>160000</v>
      </c>
      <c r="C13" s="47"/>
      <c r="D13" s="18"/>
      <c r="E13" s="47"/>
      <c r="F13" s="18"/>
      <c r="G13" s="18">
        <f t="shared" si="0"/>
        <v>160000</v>
      </c>
      <c r="H13" s="18">
        <f t="shared" si="1"/>
        <v>0</v>
      </c>
      <c r="I13" s="18">
        <f t="shared" si="2"/>
        <v>160000</v>
      </c>
      <c r="J13" s="18">
        <v>160000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x14ac:dyDescent="0.35">
      <c r="A14" s="16" t="s">
        <v>304</v>
      </c>
      <c r="B14" s="18">
        <v>231000</v>
      </c>
      <c r="C14" s="47"/>
      <c r="D14" s="18"/>
      <c r="E14" s="47" t="s">
        <v>407</v>
      </c>
      <c r="F14" s="18">
        <f>30000+201000</f>
        <v>231000</v>
      </c>
      <c r="G14" s="18">
        <f t="shared" si="0"/>
        <v>0</v>
      </c>
      <c r="H14" s="18">
        <f t="shared" si="1"/>
        <v>0</v>
      </c>
      <c r="I14" s="18">
        <f t="shared" si="2"/>
        <v>0</v>
      </c>
      <c r="J14" s="18" t="s">
        <v>222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x14ac:dyDescent="0.35">
      <c r="A15" s="16" t="s">
        <v>305</v>
      </c>
      <c r="B15" s="18">
        <v>69000</v>
      </c>
      <c r="C15" s="47"/>
      <c r="D15" s="18"/>
      <c r="E15" s="47" t="s">
        <v>404</v>
      </c>
      <c r="F15" s="18">
        <f>26187+16000</f>
        <v>42187</v>
      </c>
      <c r="G15" s="18">
        <f t="shared" si="0"/>
        <v>26813</v>
      </c>
      <c r="H15" s="18">
        <f t="shared" si="1"/>
        <v>316.0099999999984</v>
      </c>
      <c r="I15" s="18">
        <f t="shared" si="2"/>
        <v>26496.99</v>
      </c>
      <c r="J15" s="18">
        <v>26496.99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x14ac:dyDescent="0.35">
      <c r="A16" s="38" t="s">
        <v>40</v>
      </c>
      <c r="B16" s="18"/>
      <c r="C16" s="47"/>
      <c r="D16" s="18"/>
      <c r="E16" s="47"/>
      <c r="F16" s="18"/>
      <c r="G16" s="18">
        <f t="shared" si="0"/>
        <v>0</v>
      </c>
      <c r="H16" s="18"/>
      <c r="I16" s="18"/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x14ac:dyDescent="0.35">
      <c r="A17" s="22" t="s">
        <v>151</v>
      </c>
      <c r="B17" s="18">
        <v>919140</v>
      </c>
      <c r="C17" s="47" t="s">
        <v>398</v>
      </c>
      <c r="D17" s="18">
        <v>1000000</v>
      </c>
      <c r="E17" s="47"/>
      <c r="F17" s="18"/>
      <c r="G17" s="18">
        <f>B17+D17-F17</f>
        <v>1919140</v>
      </c>
      <c r="H17" s="18">
        <f t="shared" si="1"/>
        <v>603579</v>
      </c>
      <c r="I17" s="18">
        <f t="shared" si="2"/>
        <v>1315561</v>
      </c>
      <c r="J17" s="18">
        <f>827361+493000-4800</f>
        <v>1315561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x14ac:dyDescent="0.35">
      <c r="A18" s="135" t="s">
        <v>41</v>
      </c>
      <c r="B18" s="133">
        <f>SUM(B6:B17)</f>
        <v>2255140</v>
      </c>
      <c r="C18" s="134"/>
      <c r="D18" s="133">
        <f>SUM(D6:D17)</f>
        <v>1030000</v>
      </c>
      <c r="E18" s="134"/>
      <c r="F18" s="133">
        <f>SUM(F6:F17)</f>
        <v>281899</v>
      </c>
      <c r="G18" s="133">
        <f>SUM(G6:G17)</f>
        <v>3003241</v>
      </c>
      <c r="H18" s="133">
        <f>SUM(H6:H17)</f>
        <v>781799.32000000007</v>
      </c>
      <c r="I18" s="133">
        <f t="shared" ref="I18" si="3">SUM(I6:I17)</f>
        <v>2221441.6800000002</v>
      </c>
      <c r="J18" s="133">
        <f>SUM(J6:J17)</f>
        <v>2221441.6800000002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x14ac:dyDescent="0.35">
      <c r="A19" s="46"/>
      <c r="B19" s="105"/>
      <c r="C19" s="54"/>
      <c r="D19" s="105"/>
      <c r="E19" s="105"/>
      <c r="F19" s="105"/>
      <c r="G19" s="105"/>
      <c r="H19" s="105"/>
      <c r="I19" s="105"/>
      <c r="J19" s="10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x14ac:dyDescent="0.35">
      <c r="A20" s="16"/>
      <c r="B20" s="18"/>
      <c r="C20" s="18"/>
      <c r="D20" s="18"/>
      <c r="E20" s="18"/>
      <c r="F20" s="18"/>
      <c r="G20" s="18"/>
      <c r="H20" s="18"/>
      <c r="I20" s="18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x14ac:dyDescent="0.35">
      <c r="A21" s="16"/>
      <c r="B21" s="18"/>
      <c r="C21" s="18"/>
      <c r="D21" s="18"/>
      <c r="E21" s="18"/>
      <c r="F21" s="18"/>
      <c r="G21" s="18"/>
      <c r="H21" s="18"/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x14ac:dyDescent="0.35">
      <c r="A22" s="20"/>
      <c r="B22" s="18"/>
      <c r="C22" s="18"/>
      <c r="D22" s="18"/>
      <c r="E22" s="18"/>
      <c r="F22" s="18"/>
      <c r="G22" s="18"/>
      <c r="H22" s="18"/>
      <c r="I22" s="18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x14ac:dyDescent="0.35">
      <c r="A23" s="16"/>
      <c r="B23" s="18"/>
      <c r="C23" s="18"/>
      <c r="D23" s="18"/>
      <c r="E23" s="18"/>
      <c r="F23" s="18"/>
      <c r="G23" s="18"/>
      <c r="H23" s="18"/>
      <c r="I23" s="18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x14ac:dyDescent="0.35">
      <c r="A24" s="16"/>
      <c r="B24" s="18"/>
      <c r="C24" s="18"/>
      <c r="D24" s="18"/>
      <c r="E24" s="18"/>
      <c r="F24" s="18"/>
      <c r="G24" s="18"/>
      <c r="H24" s="18"/>
      <c r="I24" s="18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x14ac:dyDescent="0.35">
      <c r="A25" s="16"/>
      <c r="B25" s="18"/>
      <c r="C25" s="18"/>
      <c r="D25" s="18"/>
      <c r="E25" s="18"/>
      <c r="F25" s="18"/>
      <c r="G25" s="18"/>
      <c r="H25" s="18"/>
      <c r="I25" s="18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x14ac:dyDescent="0.35">
      <c r="A26" s="16"/>
      <c r="B26" s="18"/>
      <c r="C26" s="18"/>
      <c r="D26" s="18"/>
      <c r="E26" s="18"/>
      <c r="F26" s="18"/>
      <c r="G26" s="18"/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</sheetData>
  <mergeCells count="3">
    <mergeCell ref="A1:J1"/>
    <mergeCell ref="A2:J2"/>
    <mergeCell ref="A3:J3"/>
  </mergeCells>
  <pageMargins left="0.62" right="0.19685039370078741" top="0.31496062992125984" bottom="0.23622047244094491" header="0.31496062992125984" footer="0.23622047244094491"/>
  <pageSetup paperSize="5" scale="95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view="pageBreakPreview" zoomScaleSheetLayoutView="100" workbookViewId="0">
      <selection activeCell="C45" sqref="C45"/>
    </sheetView>
  </sheetViews>
  <sheetFormatPr defaultRowHeight="13.8" x14ac:dyDescent="0.25"/>
  <cols>
    <col min="1" max="1" width="28.19921875" customWidth="1"/>
    <col min="2" max="2" width="13.3984375" customWidth="1"/>
    <col min="3" max="3" width="13.59765625" customWidth="1"/>
    <col min="4" max="4" width="13.09765625" customWidth="1"/>
    <col min="5" max="6" width="11" customWidth="1"/>
    <col min="7" max="7" width="11.8984375" customWidth="1"/>
    <col min="8" max="8" width="9.8984375" customWidth="1"/>
    <col min="9" max="9" width="12.09765625" customWidth="1"/>
    <col min="10" max="10" width="10.5" customWidth="1"/>
    <col min="11" max="11" width="10.19921875" customWidth="1"/>
    <col min="12" max="12" width="12.19921875" customWidth="1"/>
    <col min="13" max="13" width="11.59765625" customWidth="1"/>
    <col min="14" max="14" width="12.09765625" customWidth="1"/>
    <col min="15" max="15" width="11.8984375" bestFit="1" customWidth="1"/>
  </cols>
  <sheetData>
    <row r="1" spans="1:15" ht="18" x14ac:dyDescent="0.35">
      <c r="A1" s="174" t="s">
        <v>109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"/>
    </row>
    <row r="2" spans="1:15" ht="18" x14ac:dyDescent="0.35">
      <c r="A2" s="174" t="s">
        <v>110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"/>
    </row>
    <row r="3" spans="1:15" ht="18" x14ac:dyDescent="0.35">
      <c r="A3" s="174" t="s">
        <v>414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"/>
    </row>
    <row r="4" spans="1:15" ht="18" x14ac:dyDescent="0.35">
      <c r="A4" s="12" t="s">
        <v>11</v>
      </c>
      <c r="B4" s="12" t="s">
        <v>2</v>
      </c>
      <c r="C4" s="12" t="s">
        <v>121</v>
      </c>
      <c r="D4" s="12" t="s">
        <v>9</v>
      </c>
      <c r="E4" s="12" t="s">
        <v>122</v>
      </c>
      <c r="F4" s="12" t="s">
        <v>124</v>
      </c>
      <c r="G4" s="12" t="s">
        <v>125</v>
      </c>
      <c r="H4" s="66" t="s">
        <v>126</v>
      </c>
      <c r="I4" s="12" t="s">
        <v>128</v>
      </c>
      <c r="J4" s="12" t="s">
        <v>130</v>
      </c>
      <c r="K4" s="12" t="s">
        <v>132</v>
      </c>
      <c r="L4" s="12" t="s">
        <v>133</v>
      </c>
      <c r="M4" s="12" t="s">
        <v>134</v>
      </c>
      <c r="N4" s="61" t="s">
        <v>34</v>
      </c>
      <c r="O4" s="1"/>
    </row>
    <row r="5" spans="1:15" ht="18" x14ac:dyDescent="0.35">
      <c r="A5" s="14"/>
      <c r="B5" s="14"/>
      <c r="C5" s="14"/>
      <c r="D5" s="14"/>
      <c r="E5" s="9" t="s">
        <v>123</v>
      </c>
      <c r="F5" s="9"/>
      <c r="G5" s="9"/>
      <c r="H5" s="67" t="s">
        <v>127</v>
      </c>
      <c r="I5" s="9" t="s">
        <v>129</v>
      </c>
      <c r="J5" s="9" t="s">
        <v>131</v>
      </c>
      <c r="K5" s="9"/>
      <c r="L5" s="9"/>
      <c r="M5" s="9"/>
      <c r="N5" s="11"/>
      <c r="O5" s="1"/>
    </row>
    <row r="6" spans="1:15" ht="18" x14ac:dyDescent="0.35">
      <c r="A6" s="107" t="s">
        <v>230</v>
      </c>
      <c r="B6" s="106"/>
      <c r="C6" s="160"/>
      <c r="D6" s="33"/>
      <c r="E6" s="159"/>
      <c r="F6" s="104"/>
      <c r="G6" s="104"/>
      <c r="H6" s="158"/>
      <c r="I6" s="104"/>
      <c r="J6" s="104"/>
      <c r="K6" s="104"/>
      <c r="L6" s="104"/>
      <c r="M6" s="104"/>
      <c r="N6" s="75"/>
      <c r="O6" s="1"/>
    </row>
    <row r="7" spans="1:15" ht="18" x14ac:dyDescent="0.35">
      <c r="A7" s="86" t="s">
        <v>34</v>
      </c>
      <c r="B7" s="84">
        <v>3003241</v>
      </c>
      <c r="C7" s="161">
        <v>2221441.6800000002</v>
      </c>
      <c r="D7" s="100"/>
      <c r="E7" s="102"/>
      <c r="F7" s="100"/>
      <c r="G7" s="100"/>
      <c r="H7" s="102"/>
      <c r="I7" s="100"/>
      <c r="J7" s="100"/>
      <c r="K7" s="100"/>
      <c r="L7" s="100"/>
      <c r="M7" s="100"/>
      <c r="N7" s="84">
        <v>2221441.6800000002</v>
      </c>
      <c r="O7" s="1"/>
    </row>
    <row r="8" spans="1:15" ht="18" x14ac:dyDescent="0.35">
      <c r="A8" s="72" t="s">
        <v>224</v>
      </c>
      <c r="B8" s="69">
        <v>2624640</v>
      </c>
      <c r="C8" s="162">
        <v>2624640</v>
      </c>
      <c r="D8" s="69">
        <v>2624640</v>
      </c>
      <c r="E8" s="102"/>
      <c r="F8" s="100"/>
      <c r="G8" s="100"/>
      <c r="H8" s="102"/>
      <c r="I8" s="100"/>
      <c r="J8" s="100"/>
      <c r="K8" s="100"/>
      <c r="L8" s="100"/>
      <c r="M8" s="100"/>
      <c r="N8" s="100"/>
      <c r="O8" s="1"/>
    </row>
    <row r="9" spans="1:15" ht="18" x14ac:dyDescent="0.35">
      <c r="A9" s="72" t="s">
        <v>225</v>
      </c>
      <c r="B9" s="69">
        <v>8819560</v>
      </c>
      <c r="C9" s="162">
        <v>8704527.8599999994</v>
      </c>
      <c r="D9" s="69">
        <v>3579946</v>
      </c>
      <c r="E9" s="76">
        <v>353595</v>
      </c>
      <c r="F9" s="69">
        <v>926625</v>
      </c>
      <c r="G9" s="69">
        <v>995104</v>
      </c>
      <c r="H9" s="102"/>
      <c r="I9" s="69">
        <v>1634077.86</v>
      </c>
      <c r="J9" s="100"/>
      <c r="K9" s="100"/>
      <c r="L9" s="100"/>
      <c r="M9" s="76">
        <v>1215180</v>
      </c>
      <c r="N9" s="100"/>
      <c r="O9" s="1"/>
    </row>
    <row r="10" spans="1:15" ht="18" x14ac:dyDescent="0.35">
      <c r="A10" s="72" t="s">
        <v>114</v>
      </c>
      <c r="B10" s="69">
        <v>1167629</v>
      </c>
      <c r="C10" s="162">
        <v>1158850</v>
      </c>
      <c r="D10" s="69">
        <v>1007007</v>
      </c>
      <c r="E10" s="102">
        <v>4800</v>
      </c>
      <c r="F10" s="69">
        <v>48510</v>
      </c>
      <c r="G10" s="69">
        <v>1300</v>
      </c>
      <c r="H10" s="102"/>
      <c r="I10" s="69">
        <v>66083</v>
      </c>
      <c r="J10" s="100"/>
      <c r="K10" s="100"/>
      <c r="L10" s="100"/>
      <c r="M10" s="76">
        <v>31150</v>
      </c>
      <c r="N10" s="100"/>
      <c r="O10" s="1"/>
    </row>
    <row r="11" spans="1:15" ht="18" x14ac:dyDescent="0.35">
      <c r="A11" s="72" t="s">
        <v>115</v>
      </c>
      <c r="B11" s="69">
        <v>4447550</v>
      </c>
      <c r="C11" s="162">
        <f>3811586.3+538-3180-500</f>
        <v>3808444.3</v>
      </c>
      <c r="D11" s="69">
        <v>1285767.6000000001</v>
      </c>
      <c r="E11" s="76">
        <v>58830</v>
      </c>
      <c r="F11" s="69">
        <v>1103363</v>
      </c>
      <c r="G11" s="69">
        <v>183434</v>
      </c>
      <c r="H11" s="102"/>
      <c r="I11" s="69">
        <v>264083.5</v>
      </c>
      <c r="J11" s="69">
        <v>82852</v>
      </c>
      <c r="K11" s="69">
        <v>328600</v>
      </c>
      <c r="L11" s="69">
        <v>366892.5</v>
      </c>
      <c r="M11" s="76">
        <v>134621.70000000001</v>
      </c>
      <c r="N11" s="100"/>
      <c r="O11" s="1"/>
    </row>
    <row r="12" spans="1:15" ht="18" x14ac:dyDescent="0.35">
      <c r="A12" s="72" t="s">
        <v>116</v>
      </c>
      <c r="B12" s="69">
        <v>2373360</v>
      </c>
      <c r="C12" s="162">
        <v>1994508.83</v>
      </c>
      <c r="D12" s="69">
        <f>201436.75+121016.1</f>
        <v>322452.84999999998</v>
      </c>
      <c r="E12" s="102">
        <v>36118.6</v>
      </c>
      <c r="F12" s="69">
        <v>801914.48</v>
      </c>
      <c r="G12" s="69">
        <v>178668</v>
      </c>
      <c r="H12" s="102"/>
      <c r="I12" s="69">
        <v>90675</v>
      </c>
      <c r="J12" s="100"/>
      <c r="K12" s="100"/>
      <c r="L12" s="69">
        <f>490577.9-538</f>
        <v>490039.9</v>
      </c>
      <c r="M12" s="76">
        <v>74640</v>
      </c>
      <c r="N12" s="100"/>
      <c r="O12" s="1"/>
    </row>
    <row r="13" spans="1:15" ht="18" x14ac:dyDescent="0.35">
      <c r="A13" s="72" t="s">
        <v>117</v>
      </c>
      <c r="B13" s="69">
        <v>1355000</v>
      </c>
      <c r="C13" s="162">
        <v>1231880.28</v>
      </c>
      <c r="D13" s="69">
        <v>345511.63</v>
      </c>
      <c r="E13" s="102"/>
      <c r="F13" s="69">
        <v>37514.49</v>
      </c>
      <c r="G13" s="100"/>
      <c r="H13" s="102"/>
      <c r="I13" s="100"/>
      <c r="J13" s="100"/>
      <c r="K13" s="100"/>
      <c r="L13" s="69">
        <v>848854.16</v>
      </c>
      <c r="M13" s="100"/>
      <c r="N13" s="100"/>
      <c r="O13" s="1"/>
    </row>
    <row r="14" spans="1:15" ht="18" x14ac:dyDescent="0.35">
      <c r="A14" s="72" t="s">
        <v>118</v>
      </c>
      <c r="B14" s="69">
        <v>1755000</v>
      </c>
      <c r="C14" s="162">
        <v>1714210.57</v>
      </c>
      <c r="D14" s="100"/>
      <c r="E14" s="102"/>
      <c r="F14" s="69">
        <v>1152000</v>
      </c>
      <c r="G14" s="69">
        <v>135000</v>
      </c>
      <c r="H14" s="76">
        <v>30000</v>
      </c>
      <c r="I14" s="69">
        <v>306210.57</v>
      </c>
      <c r="J14" s="69">
        <v>10000</v>
      </c>
      <c r="K14" s="69">
        <v>81000</v>
      </c>
      <c r="L14" s="100"/>
      <c r="M14" s="100"/>
      <c r="N14" s="100"/>
      <c r="O14" s="1"/>
    </row>
    <row r="15" spans="1:15" ht="18" x14ac:dyDescent="0.35">
      <c r="A15" s="72" t="s">
        <v>119</v>
      </c>
      <c r="B15" s="69">
        <v>1758800</v>
      </c>
      <c r="C15" s="162">
        <v>1518245</v>
      </c>
      <c r="D15" s="69">
        <v>382860</v>
      </c>
      <c r="E15" s="102">
        <v>104200</v>
      </c>
      <c r="F15" s="102">
        <v>113190</v>
      </c>
      <c r="G15" s="76">
        <v>73100</v>
      </c>
      <c r="H15" s="102"/>
      <c r="I15" s="69">
        <v>693100</v>
      </c>
      <c r="J15" s="100"/>
      <c r="K15" s="100"/>
      <c r="L15" s="76">
        <v>20000</v>
      </c>
      <c r="M15" s="76">
        <v>131795</v>
      </c>
      <c r="N15" s="100"/>
      <c r="O15" s="1"/>
    </row>
    <row r="16" spans="1:15" ht="18" x14ac:dyDescent="0.35">
      <c r="A16" s="72" t="s">
        <v>120</v>
      </c>
      <c r="B16" s="69">
        <v>4803500</v>
      </c>
      <c r="C16" s="162">
        <v>4609271</v>
      </c>
      <c r="D16" s="108">
        <v>71000</v>
      </c>
      <c r="E16" s="102">
        <v>399000</v>
      </c>
      <c r="F16" s="102">
        <v>70000</v>
      </c>
      <c r="G16" s="100"/>
      <c r="H16" s="102">
        <v>100000</v>
      </c>
      <c r="I16" s="69">
        <v>3819536</v>
      </c>
      <c r="J16" s="100"/>
      <c r="K16" s="100"/>
      <c r="L16" s="69"/>
      <c r="M16" s="76">
        <v>149735</v>
      </c>
      <c r="N16" s="100"/>
      <c r="O16" s="1"/>
    </row>
    <row r="17" spans="1:15" ht="18" x14ac:dyDescent="0.35">
      <c r="A17" s="149" t="s">
        <v>410</v>
      </c>
      <c r="B17" s="150">
        <v>891720</v>
      </c>
      <c r="C17" s="163">
        <v>889620.3</v>
      </c>
      <c r="D17" s="151">
        <v>889620.3</v>
      </c>
      <c r="E17" s="157"/>
      <c r="F17" s="157"/>
      <c r="G17" s="152"/>
      <c r="H17" s="157"/>
      <c r="I17" s="150"/>
      <c r="J17" s="152"/>
      <c r="K17" s="152"/>
      <c r="L17" s="150"/>
      <c r="M17" s="153"/>
      <c r="N17" s="152"/>
      <c r="O17" s="1"/>
    </row>
    <row r="18" spans="1:15" ht="18.600000000000001" thickBot="1" x14ac:dyDescent="0.4">
      <c r="A18" s="95" t="s">
        <v>227</v>
      </c>
      <c r="B18" s="85">
        <f>SUM(B7:B17)</f>
        <v>33000000</v>
      </c>
      <c r="C18" s="85">
        <f>SUM(C7:C17)</f>
        <v>30475639.820000004</v>
      </c>
      <c r="D18" s="85">
        <f t="shared" ref="D18:N18" si="0">SUM(D7:D17)</f>
        <v>10508805.380000001</v>
      </c>
      <c r="E18" s="74">
        <f t="shared" si="0"/>
        <v>956543.6</v>
      </c>
      <c r="F18" s="85">
        <f t="shared" si="0"/>
        <v>4253116.9700000007</v>
      </c>
      <c r="G18" s="85">
        <f t="shared" si="0"/>
        <v>1566606</v>
      </c>
      <c r="H18" s="85">
        <f t="shared" si="0"/>
        <v>130000</v>
      </c>
      <c r="I18" s="85">
        <f t="shared" si="0"/>
        <v>6873765.9299999997</v>
      </c>
      <c r="J18" s="85">
        <f t="shared" si="0"/>
        <v>92852</v>
      </c>
      <c r="K18" s="85">
        <f t="shared" si="0"/>
        <v>409600</v>
      </c>
      <c r="L18" s="85">
        <f t="shared" si="0"/>
        <v>1725786.56</v>
      </c>
      <c r="M18" s="85">
        <f t="shared" si="0"/>
        <v>1737121.7</v>
      </c>
      <c r="N18" s="85">
        <f t="shared" si="0"/>
        <v>2221441.6800000002</v>
      </c>
      <c r="O18" s="156">
        <f>SUM(D18:N18)</f>
        <v>30475639.82</v>
      </c>
    </row>
    <row r="19" spans="1:15" ht="18.600000000000001" thickTop="1" x14ac:dyDescent="0.35">
      <c r="A19" s="109" t="s">
        <v>135</v>
      </c>
      <c r="B19" s="86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1"/>
    </row>
    <row r="20" spans="1:15" ht="18" x14ac:dyDescent="0.35">
      <c r="A20" s="72" t="s">
        <v>34</v>
      </c>
      <c r="B20" s="76"/>
      <c r="C20" s="76">
        <v>12262384.640000001</v>
      </c>
      <c r="D20" s="76">
        <f>C20</f>
        <v>12262384.640000001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"/>
    </row>
    <row r="21" spans="1:15" ht="18" x14ac:dyDescent="0.35">
      <c r="A21" s="72" t="s">
        <v>111</v>
      </c>
      <c r="B21" s="76"/>
      <c r="C21" s="76">
        <v>360000</v>
      </c>
      <c r="D21" s="102"/>
      <c r="E21" s="102"/>
      <c r="F21" s="76">
        <v>360000</v>
      </c>
      <c r="G21" s="102"/>
      <c r="H21" s="102"/>
      <c r="I21" s="102"/>
      <c r="J21" s="102"/>
      <c r="K21" s="102"/>
      <c r="L21" s="102"/>
      <c r="M21" s="102"/>
      <c r="N21" s="102"/>
      <c r="O21" s="1"/>
    </row>
    <row r="22" spans="1:15" ht="18" x14ac:dyDescent="0.35">
      <c r="A22" s="72" t="s">
        <v>112</v>
      </c>
      <c r="B22" s="76"/>
      <c r="C22" s="76">
        <v>183480</v>
      </c>
      <c r="D22" s="102"/>
      <c r="E22" s="102"/>
      <c r="F22" s="102"/>
      <c r="G22" s="102"/>
      <c r="H22" s="102"/>
      <c r="I22" s="102"/>
      <c r="J22" s="102"/>
      <c r="K22" s="102"/>
      <c r="L22" s="102"/>
      <c r="M22" s="76">
        <v>183480</v>
      </c>
      <c r="N22" s="102"/>
      <c r="O22" s="1"/>
    </row>
    <row r="23" spans="1:15" ht="18" x14ac:dyDescent="0.35">
      <c r="A23" s="72" t="s">
        <v>113</v>
      </c>
      <c r="B23" s="76"/>
      <c r="C23" s="76">
        <v>324000</v>
      </c>
      <c r="D23" s="102"/>
      <c r="E23" s="102"/>
      <c r="F23" s="76">
        <v>324000</v>
      </c>
      <c r="G23" s="102"/>
      <c r="H23" s="102"/>
      <c r="I23" s="102"/>
      <c r="J23" s="102"/>
      <c r="K23" s="102"/>
      <c r="L23" s="102"/>
      <c r="M23" s="102"/>
      <c r="N23" s="102"/>
      <c r="O23" s="1"/>
    </row>
    <row r="24" spans="1:15" ht="18" x14ac:dyDescent="0.35">
      <c r="A24" s="72" t="s">
        <v>114</v>
      </c>
      <c r="B24" s="76"/>
      <c r="C24" s="76">
        <v>3900</v>
      </c>
      <c r="D24" s="102"/>
      <c r="E24" s="102"/>
      <c r="F24" s="76">
        <v>3900</v>
      </c>
      <c r="G24" s="102"/>
      <c r="H24" s="102"/>
      <c r="I24" s="102"/>
      <c r="J24" s="102"/>
      <c r="K24" s="102"/>
      <c r="L24" s="102"/>
      <c r="M24" s="76"/>
      <c r="N24" s="102"/>
      <c r="O24" s="1"/>
    </row>
    <row r="25" spans="1:15" ht="18" x14ac:dyDescent="0.35">
      <c r="A25" s="72" t="s">
        <v>115</v>
      </c>
      <c r="B25" s="76"/>
      <c r="C25" s="76">
        <v>312500</v>
      </c>
      <c r="D25" s="76"/>
      <c r="E25" s="102"/>
      <c r="F25" s="76">
        <v>204000</v>
      </c>
      <c r="G25" s="102"/>
      <c r="H25" s="102"/>
      <c r="I25" s="102"/>
      <c r="J25" s="102">
        <v>108500</v>
      </c>
      <c r="K25" s="102"/>
      <c r="L25" s="102"/>
      <c r="M25" s="102"/>
      <c r="N25" s="102"/>
      <c r="O25" s="1"/>
    </row>
    <row r="26" spans="1:15" ht="18" x14ac:dyDescent="0.35">
      <c r="A26" s="72" t="s">
        <v>117</v>
      </c>
      <c r="B26" s="76"/>
      <c r="C26" s="76">
        <v>2581595.9</v>
      </c>
      <c r="D26" s="102"/>
      <c r="E26" s="102"/>
      <c r="F26" s="102"/>
      <c r="G26" s="102"/>
      <c r="H26" s="102"/>
      <c r="I26" s="102"/>
      <c r="J26" s="102"/>
      <c r="K26" s="102"/>
      <c r="L26" s="102"/>
      <c r="M26" s="76">
        <v>2581595.9</v>
      </c>
      <c r="N26" s="102"/>
      <c r="O26" s="1"/>
    </row>
    <row r="27" spans="1:15" ht="18" x14ac:dyDescent="0.35">
      <c r="A27" s="72" t="s">
        <v>226</v>
      </c>
      <c r="B27" s="154"/>
      <c r="C27" s="76"/>
      <c r="D27" s="102"/>
      <c r="E27" s="102"/>
      <c r="F27" s="76"/>
      <c r="G27" s="102"/>
      <c r="H27" s="102"/>
      <c r="I27" s="102"/>
      <c r="J27" s="102"/>
      <c r="K27" s="102"/>
      <c r="L27" s="102"/>
      <c r="M27" s="102"/>
      <c r="N27" s="102"/>
      <c r="O27" s="1"/>
    </row>
    <row r="28" spans="1:15" ht="18" x14ac:dyDescent="0.35">
      <c r="A28" s="73" t="s">
        <v>235</v>
      </c>
      <c r="B28" s="77"/>
      <c r="C28" s="77"/>
      <c r="D28" s="102"/>
      <c r="E28" s="102"/>
      <c r="F28" s="102"/>
      <c r="G28" s="102"/>
      <c r="H28" s="102"/>
      <c r="I28" s="77"/>
      <c r="J28" s="102"/>
      <c r="K28" s="102"/>
      <c r="L28" s="102"/>
      <c r="M28" s="102"/>
      <c r="N28" s="102"/>
      <c r="O28" s="1"/>
    </row>
    <row r="29" spans="1:15" ht="18" x14ac:dyDescent="0.35">
      <c r="A29" s="34" t="s">
        <v>228</v>
      </c>
      <c r="B29" s="18"/>
      <c r="C29" s="105">
        <f>SUM(C20:C28)</f>
        <v>16027860.540000001</v>
      </c>
      <c r="D29" s="105">
        <f t="shared" ref="D29:N29" si="1">SUM(D20:D28)</f>
        <v>12262384.640000001</v>
      </c>
      <c r="E29" s="105">
        <f t="shared" si="1"/>
        <v>0</v>
      </c>
      <c r="F29" s="105">
        <f t="shared" si="1"/>
        <v>891900</v>
      </c>
      <c r="G29" s="105">
        <f t="shared" si="1"/>
        <v>0</v>
      </c>
      <c r="H29" s="105">
        <f t="shared" si="1"/>
        <v>0</v>
      </c>
      <c r="I29" s="105">
        <f t="shared" si="1"/>
        <v>0</v>
      </c>
      <c r="J29" s="105">
        <f t="shared" si="1"/>
        <v>108500</v>
      </c>
      <c r="K29" s="105">
        <f t="shared" si="1"/>
        <v>0</v>
      </c>
      <c r="L29" s="105">
        <f t="shared" si="1"/>
        <v>0</v>
      </c>
      <c r="M29" s="105">
        <f t="shared" si="1"/>
        <v>2765075.9</v>
      </c>
      <c r="N29" s="105">
        <f t="shared" si="1"/>
        <v>0</v>
      </c>
      <c r="O29" s="156"/>
    </row>
    <row r="30" spans="1:15" ht="18.600000000000001" thickBot="1" x14ac:dyDescent="0.4">
      <c r="A30" s="95" t="s">
        <v>229</v>
      </c>
      <c r="B30" s="155"/>
      <c r="C30" s="74">
        <f>C18+C29</f>
        <v>46503500.360000007</v>
      </c>
      <c r="D30" s="74">
        <f t="shared" ref="D30:N30" si="2">D18+D29</f>
        <v>22771190.020000003</v>
      </c>
      <c r="E30" s="74">
        <f t="shared" si="2"/>
        <v>956543.6</v>
      </c>
      <c r="F30" s="74">
        <f t="shared" si="2"/>
        <v>5145016.9700000007</v>
      </c>
      <c r="G30" s="74">
        <f t="shared" si="2"/>
        <v>1566606</v>
      </c>
      <c r="H30" s="74">
        <f t="shared" si="2"/>
        <v>130000</v>
      </c>
      <c r="I30" s="74">
        <f t="shared" si="2"/>
        <v>6873765.9299999997</v>
      </c>
      <c r="J30" s="74">
        <f t="shared" si="2"/>
        <v>201352</v>
      </c>
      <c r="K30" s="74">
        <f t="shared" si="2"/>
        <v>409600</v>
      </c>
      <c r="L30" s="74">
        <f t="shared" si="2"/>
        <v>1725786.56</v>
      </c>
      <c r="M30" s="74">
        <f t="shared" si="2"/>
        <v>4502197.5999999996</v>
      </c>
      <c r="N30" s="74">
        <f t="shared" si="2"/>
        <v>2221441.6800000002</v>
      </c>
      <c r="O30" s="1"/>
    </row>
    <row r="31" spans="1:15" ht="18.600000000000001" thickTop="1" x14ac:dyDescent="0.35">
      <c r="A31" s="83"/>
      <c r="B31" s="79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1"/>
    </row>
    <row r="32" spans="1:15" ht="18" x14ac:dyDescent="0.35">
      <c r="A32" s="12" t="s">
        <v>11</v>
      </c>
      <c r="B32" s="12" t="s">
        <v>2</v>
      </c>
      <c r="C32" s="12" t="s">
        <v>121</v>
      </c>
      <c r="D32" s="12" t="s">
        <v>9</v>
      </c>
      <c r="E32" s="12" t="s">
        <v>122</v>
      </c>
      <c r="F32" s="12" t="s">
        <v>124</v>
      </c>
      <c r="G32" s="12" t="s">
        <v>125</v>
      </c>
      <c r="H32" s="66" t="s">
        <v>126</v>
      </c>
      <c r="I32" s="12" t="s">
        <v>128</v>
      </c>
      <c r="J32" s="12" t="s">
        <v>130</v>
      </c>
      <c r="K32" s="12" t="s">
        <v>132</v>
      </c>
      <c r="L32" s="12" t="s">
        <v>133</v>
      </c>
      <c r="M32" s="12" t="s">
        <v>134</v>
      </c>
      <c r="N32" s="103" t="s">
        <v>34</v>
      </c>
      <c r="O32" s="1"/>
    </row>
    <row r="33" spans="1:15" ht="18" x14ac:dyDescent="0.35">
      <c r="A33" s="14"/>
      <c r="B33" s="14"/>
      <c r="C33" s="14"/>
      <c r="D33" s="14"/>
      <c r="E33" s="9" t="s">
        <v>123</v>
      </c>
      <c r="F33" s="9"/>
      <c r="G33" s="9"/>
      <c r="H33" s="67" t="s">
        <v>127</v>
      </c>
      <c r="I33" s="9" t="s">
        <v>129</v>
      </c>
      <c r="J33" s="9" t="s">
        <v>131</v>
      </c>
      <c r="K33" s="9"/>
      <c r="L33" s="9"/>
      <c r="M33" s="9"/>
      <c r="N33" s="11"/>
      <c r="O33" s="1"/>
    </row>
    <row r="34" spans="1:15" ht="18" x14ac:dyDescent="0.35">
      <c r="A34" s="107" t="s">
        <v>136</v>
      </c>
      <c r="B34" s="68"/>
      <c r="C34" s="68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68"/>
      <c r="O34" s="1"/>
    </row>
    <row r="35" spans="1:15" ht="18" x14ac:dyDescent="0.35">
      <c r="A35" s="72" t="s">
        <v>137</v>
      </c>
      <c r="B35" s="69">
        <v>305000</v>
      </c>
      <c r="C35" s="69">
        <v>366289.55</v>
      </c>
      <c r="D35" s="108" t="s">
        <v>222</v>
      </c>
      <c r="E35" s="108" t="s">
        <v>222</v>
      </c>
      <c r="F35" s="108" t="s">
        <v>222</v>
      </c>
      <c r="G35" s="108" t="s">
        <v>222</v>
      </c>
      <c r="H35" s="108" t="s">
        <v>222</v>
      </c>
      <c r="I35" s="108" t="s">
        <v>222</v>
      </c>
      <c r="J35" s="108" t="s">
        <v>222</v>
      </c>
      <c r="K35" s="108" t="s">
        <v>222</v>
      </c>
      <c r="L35" s="108" t="s">
        <v>222</v>
      </c>
      <c r="M35" s="108" t="s">
        <v>222</v>
      </c>
      <c r="N35" s="108" t="s">
        <v>222</v>
      </c>
      <c r="O35" s="1"/>
    </row>
    <row r="36" spans="1:15" ht="18" x14ac:dyDescent="0.35">
      <c r="A36" s="72" t="s">
        <v>138</v>
      </c>
      <c r="B36" s="69">
        <v>493600</v>
      </c>
      <c r="C36" s="69">
        <v>538205</v>
      </c>
      <c r="D36" s="108" t="s">
        <v>222</v>
      </c>
      <c r="E36" s="108" t="s">
        <v>222</v>
      </c>
      <c r="F36" s="108" t="s">
        <v>222</v>
      </c>
      <c r="G36" s="108" t="s">
        <v>222</v>
      </c>
      <c r="H36" s="108" t="s">
        <v>222</v>
      </c>
      <c r="I36" s="108" t="s">
        <v>222</v>
      </c>
      <c r="J36" s="108" t="s">
        <v>222</v>
      </c>
      <c r="K36" s="108" t="s">
        <v>222</v>
      </c>
      <c r="L36" s="108" t="s">
        <v>222</v>
      </c>
      <c r="M36" s="108" t="s">
        <v>222</v>
      </c>
      <c r="N36" s="108" t="s">
        <v>222</v>
      </c>
      <c r="O36" s="1"/>
    </row>
    <row r="37" spans="1:15" ht="18" x14ac:dyDescent="0.35">
      <c r="A37" s="72" t="s">
        <v>144</v>
      </c>
      <c r="B37" s="69">
        <v>101000</v>
      </c>
      <c r="C37" s="69">
        <v>261526.24</v>
      </c>
      <c r="D37" s="108" t="s">
        <v>222</v>
      </c>
      <c r="E37" s="108" t="s">
        <v>222</v>
      </c>
      <c r="F37" s="108" t="s">
        <v>222</v>
      </c>
      <c r="G37" s="108" t="s">
        <v>222</v>
      </c>
      <c r="H37" s="108" t="s">
        <v>222</v>
      </c>
      <c r="I37" s="108" t="s">
        <v>222</v>
      </c>
      <c r="J37" s="108" t="s">
        <v>222</v>
      </c>
      <c r="K37" s="108" t="s">
        <v>222</v>
      </c>
      <c r="L37" s="108" t="s">
        <v>222</v>
      </c>
      <c r="M37" s="108" t="s">
        <v>222</v>
      </c>
      <c r="N37" s="108" t="s">
        <v>222</v>
      </c>
      <c r="O37" s="1"/>
    </row>
    <row r="38" spans="1:15" ht="18" x14ac:dyDescent="0.35">
      <c r="A38" s="72" t="s">
        <v>231</v>
      </c>
      <c r="B38" s="69">
        <v>1125000</v>
      </c>
      <c r="C38" s="69">
        <v>1141788</v>
      </c>
      <c r="D38" s="108" t="s">
        <v>222</v>
      </c>
      <c r="E38" s="108" t="s">
        <v>222</v>
      </c>
      <c r="F38" s="108" t="s">
        <v>222</v>
      </c>
      <c r="G38" s="108" t="s">
        <v>222</v>
      </c>
      <c r="H38" s="108" t="s">
        <v>222</v>
      </c>
      <c r="I38" s="108" t="s">
        <v>222</v>
      </c>
      <c r="J38" s="108" t="s">
        <v>222</v>
      </c>
      <c r="K38" s="108" t="s">
        <v>222</v>
      </c>
      <c r="L38" s="108" t="s">
        <v>222</v>
      </c>
      <c r="M38" s="108" t="s">
        <v>222</v>
      </c>
      <c r="N38" s="108" t="s">
        <v>222</v>
      </c>
      <c r="O38" s="1"/>
    </row>
    <row r="39" spans="1:15" ht="18" x14ac:dyDescent="0.35">
      <c r="A39" s="72" t="s">
        <v>139</v>
      </c>
      <c r="B39" s="69">
        <v>450000</v>
      </c>
      <c r="C39" s="69">
        <v>320604.49</v>
      </c>
      <c r="D39" s="108" t="s">
        <v>222</v>
      </c>
      <c r="E39" s="108" t="s">
        <v>222</v>
      </c>
      <c r="F39" s="108" t="s">
        <v>222</v>
      </c>
      <c r="G39" s="108" t="s">
        <v>222</v>
      </c>
      <c r="H39" s="108" t="s">
        <v>222</v>
      </c>
      <c r="I39" s="108" t="s">
        <v>222</v>
      </c>
      <c r="J39" s="108" t="s">
        <v>222</v>
      </c>
      <c r="K39" s="108" t="s">
        <v>222</v>
      </c>
      <c r="L39" s="108" t="s">
        <v>222</v>
      </c>
      <c r="M39" s="108" t="s">
        <v>222</v>
      </c>
      <c r="N39" s="108" t="s">
        <v>222</v>
      </c>
      <c r="O39" s="1"/>
    </row>
    <row r="40" spans="1:15" ht="18" x14ac:dyDescent="0.35">
      <c r="A40" s="72" t="s">
        <v>140</v>
      </c>
      <c r="B40" s="69">
        <v>15865400</v>
      </c>
      <c r="C40" s="69">
        <v>15733850.34</v>
      </c>
      <c r="D40" s="108" t="s">
        <v>222</v>
      </c>
      <c r="E40" s="108" t="s">
        <v>222</v>
      </c>
      <c r="F40" s="108" t="s">
        <v>222</v>
      </c>
      <c r="G40" s="108" t="s">
        <v>222</v>
      </c>
      <c r="H40" s="108" t="s">
        <v>222</v>
      </c>
      <c r="I40" s="108" t="s">
        <v>222</v>
      </c>
      <c r="J40" s="108" t="s">
        <v>222</v>
      </c>
      <c r="K40" s="108" t="s">
        <v>222</v>
      </c>
      <c r="L40" s="108" t="s">
        <v>222</v>
      </c>
      <c r="M40" s="108" t="s">
        <v>222</v>
      </c>
      <c r="N40" s="108" t="s">
        <v>222</v>
      </c>
      <c r="O40" s="1"/>
    </row>
    <row r="41" spans="1:15" ht="18" x14ac:dyDescent="0.35">
      <c r="A41" s="73" t="s">
        <v>141</v>
      </c>
      <c r="B41" s="70">
        <v>14660000</v>
      </c>
      <c r="C41" s="70">
        <v>13599695</v>
      </c>
      <c r="D41" s="101" t="s">
        <v>222</v>
      </c>
      <c r="E41" s="101" t="s">
        <v>222</v>
      </c>
      <c r="F41" s="101" t="s">
        <v>222</v>
      </c>
      <c r="G41" s="101" t="s">
        <v>222</v>
      </c>
      <c r="H41" s="101" t="s">
        <v>222</v>
      </c>
      <c r="I41" s="101" t="s">
        <v>222</v>
      </c>
      <c r="J41" s="101" t="s">
        <v>222</v>
      </c>
      <c r="K41" s="101" t="s">
        <v>222</v>
      </c>
      <c r="L41" s="101" t="s">
        <v>222</v>
      </c>
      <c r="M41" s="101" t="s">
        <v>222</v>
      </c>
      <c r="N41" s="101" t="s">
        <v>222</v>
      </c>
      <c r="O41" s="1"/>
    </row>
    <row r="42" spans="1:15" ht="18.600000000000001" thickBot="1" x14ac:dyDescent="0.4">
      <c r="A42" s="95" t="s">
        <v>142</v>
      </c>
      <c r="B42" s="85">
        <f>SUM(B35:B41)</f>
        <v>33000000</v>
      </c>
      <c r="C42" s="85">
        <f>SUM(C35:C41)</f>
        <v>31961958.620000001</v>
      </c>
      <c r="D42" s="110" t="s">
        <v>222</v>
      </c>
      <c r="E42" s="110" t="s">
        <v>222</v>
      </c>
      <c r="F42" s="110" t="s">
        <v>222</v>
      </c>
      <c r="G42" s="110" t="s">
        <v>222</v>
      </c>
      <c r="H42" s="110" t="s">
        <v>222</v>
      </c>
      <c r="I42" s="110" t="s">
        <v>222</v>
      </c>
      <c r="J42" s="110" t="s">
        <v>222</v>
      </c>
      <c r="K42" s="110" t="s">
        <v>222</v>
      </c>
      <c r="L42" s="110" t="s">
        <v>222</v>
      </c>
      <c r="M42" s="110" t="s">
        <v>222</v>
      </c>
      <c r="N42" s="110" t="s">
        <v>222</v>
      </c>
      <c r="O42" s="1"/>
    </row>
    <row r="43" spans="1:15" ht="18.600000000000001" thickTop="1" x14ac:dyDescent="0.35">
      <c r="A43" s="4" t="s">
        <v>135</v>
      </c>
      <c r="B43" s="80"/>
      <c r="C43" s="111">
        <v>16027860.539999999</v>
      </c>
      <c r="D43" s="79"/>
      <c r="E43" s="79"/>
      <c r="F43" s="80"/>
      <c r="G43" s="80"/>
      <c r="H43" s="79"/>
      <c r="I43" s="80"/>
      <c r="J43" s="80"/>
      <c r="K43" s="80"/>
      <c r="L43" s="80"/>
      <c r="M43" s="79"/>
      <c r="N43" s="79"/>
      <c r="O43" s="1"/>
    </row>
    <row r="44" spans="1:15" ht="18.600000000000001" thickBot="1" x14ac:dyDescent="0.4">
      <c r="A44" s="83" t="s">
        <v>143</v>
      </c>
      <c r="B44" s="80"/>
      <c r="C44" s="85">
        <f>C42+C43</f>
        <v>47989819.159999996</v>
      </c>
      <c r="D44" s="80"/>
      <c r="E44" s="80"/>
      <c r="F44" s="80"/>
      <c r="G44" s="79"/>
      <c r="H44" s="79"/>
      <c r="I44" s="80"/>
      <c r="J44" s="79"/>
      <c r="K44" s="79"/>
      <c r="L44" s="80"/>
      <c r="M44" s="79"/>
      <c r="N44" s="79"/>
      <c r="O44" s="1"/>
    </row>
    <row r="45" spans="1:15" ht="19.2" thickTop="1" thickBot="1" x14ac:dyDescent="0.4">
      <c r="A45" s="83" t="s">
        <v>232</v>
      </c>
      <c r="B45" s="80"/>
      <c r="C45" s="112">
        <f>C44-C30</f>
        <v>1486318.7999999896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1"/>
    </row>
    <row r="46" spans="1:15" ht="18.600000000000001" thickTop="1" x14ac:dyDescent="0.35">
      <c r="A46" s="78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1"/>
    </row>
    <row r="47" spans="1:15" ht="18" x14ac:dyDescent="0.35">
      <c r="A47" s="79"/>
      <c r="B47" s="79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1"/>
    </row>
    <row r="48" spans="1:15" ht="18" x14ac:dyDescent="0.35">
      <c r="A48" s="79"/>
      <c r="B48" s="79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1"/>
    </row>
    <row r="49" spans="1:15" ht="18" x14ac:dyDescent="0.35">
      <c r="A49" s="79"/>
      <c r="B49" s="79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1"/>
    </row>
    <row r="50" spans="1:15" ht="18" x14ac:dyDescent="0.35">
      <c r="A50" s="79"/>
      <c r="B50" s="79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1"/>
    </row>
    <row r="51" spans="1:15" ht="18" x14ac:dyDescent="0.35">
      <c r="A51" s="79"/>
      <c r="B51" s="79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1"/>
    </row>
    <row r="52" spans="1:15" ht="18" x14ac:dyDescent="0.35">
      <c r="A52" s="79"/>
      <c r="B52" s="7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1"/>
    </row>
    <row r="53" spans="1:15" ht="18" x14ac:dyDescent="0.35">
      <c r="A53" s="79" t="s">
        <v>145</v>
      </c>
      <c r="B53" s="79"/>
      <c r="C53" s="81"/>
      <c r="D53" s="81"/>
      <c r="E53" s="81"/>
      <c r="F53" s="81" t="s">
        <v>148</v>
      </c>
      <c r="G53" s="81"/>
      <c r="H53" s="81"/>
      <c r="I53" s="81"/>
      <c r="J53" s="81"/>
      <c r="K53" s="81"/>
      <c r="L53" s="185" t="s">
        <v>148</v>
      </c>
      <c r="M53" s="185"/>
      <c r="N53" s="185"/>
      <c r="O53" s="1"/>
    </row>
    <row r="54" spans="1:15" ht="18" x14ac:dyDescent="0.35">
      <c r="A54" s="79" t="s">
        <v>146</v>
      </c>
      <c r="B54" s="79"/>
      <c r="C54" s="81"/>
      <c r="D54" s="81"/>
      <c r="E54" s="81"/>
      <c r="F54" s="81" t="s">
        <v>233</v>
      </c>
      <c r="G54" s="81"/>
      <c r="H54" s="81"/>
      <c r="I54" s="81"/>
      <c r="J54" s="81"/>
      <c r="K54" s="81"/>
      <c r="L54" s="185" t="s">
        <v>234</v>
      </c>
      <c r="M54" s="185"/>
      <c r="N54" s="185"/>
      <c r="O54" s="1"/>
    </row>
    <row r="55" spans="1:15" ht="18" x14ac:dyDescent="0.35">
      <c r="A55" s="79" t="s">
        <v>147</v>
      </c>
      <c r="B55" s="79"/>
      <c r="C55" s="43"/>
      <c r="D55" s="43"/>
      <c r="E55" s="43"/>
      <c r="F55" s="185" t="s">
        <v>149</v>
      </c>
      <c r="G55" s="185"/>
      <c r="H55" s="185"/>
      <c r="I55" s="43"/>
      <c r="J55" s="43"/>
      <c r="K55" s="43"/>
      <c r="L55" s="185" t="s">
        <v>150</v>
      </c>
      <c r="M55" s="185"/>
      <c r="N55" s="185"/>
      <c r="O55" s="1"/>
    </row>
    <row r="56" spans="1:15" ht="18" x14ac:dyDescent="0.35">
      <c r="A56" s="82"/>
      <c r="B56" s="79"/>
      <c r="C56" s="81"/>
      <c r="D56" s="81"/>
      <c r="E56" s="81"/>
      <c r="F56" s="81"/>
      <c r="G56" s="81"/>
      <c r="H56" s="81"/>
      <c r="I56" s="81"/>
      <c r="J56" s="81"/>
      <c r="K56" s="81"/>
      <c r="L56" s="185"/>
      <c r="M56" s="185"/>
      <c r="N56" s="185"/>
      <c r="O56" s="1"/>
    </row>
    <row r="57" spans="1:15" ht="18" x14ac:dyDescent="0.35">
      <c r="A57" s="79"/>
      <c r="B57" s="79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1"/>
    </row>
    <row r="58" spans="1:15" ht="18" x14ac:dyDescent="0.35">
      <c r="A58" s="4"/>
      <c r="B58" s="79"/>
      <c r="C58" s="43"/>
      <c r="D58" s="81"/>
      <c r="E58" s="81"/>
      <c r="F58" s="43"/>
      <c r="G58" s="81"/>
      <c r="H58" s="81"/>
      <c r="I58" s="81"/>
      <c r="J58" s="81"/>
      <c r="K58" s="81"/>
      <c r="L58" s="81"/>
      <c r="M58" s="81"/>
      <c r="N58" s="81"/>
      <c r="O58" s="1"/>
    </row>
    <row r="59" spans="1:15" ht="18" x14ac:dyDescent="0.35">
      <c r="A59" s="83"/>
      <c r="B59" s="79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1"/>
    </row>
    <row r="60" spans="1:15" ht="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8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</sheetData>
  <mergeCells count="8">
    <mergeCell ref="L56:N56"/>
    <mergeCell ref="A1:N1"/>
    <mergeCell ref="A2:N2"/>
    <mergeCell ref="A3:N3"/>
    <mergeCell ref="F55:H55"/>
    <mergeCell ref="L55:N55"/>
    <mergeCell ref="L53:N53"/>
    <mergeCell ref="L54:N54"/>
  </mergeCells>
  <pageMargins left="0.15748031496062992" right="0.15748031496062992" top="0.31496062992125984" bottom="0.23622047244094491" header="0.31496062992125984" footer="0.23622047244094491"/>
  <pageSetup paperSize="5" scale="90" orientation="landscape" r:id="rId1"/>
  <rowBreaks count="1" manualBreakCount="1">
    <brk id="31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C17" sqref="C17"/>
    </sheetView>
  </sheetViews>
  <sheetFormatPr defaultRowHeight="13.8" x14ac:dyDescent="0.25"/>
  <cols>
    <col min="1" max="1" width="33" customWidth="1"/>
    <col min="2" max="3" width="20.3984375" customWidth="1"/>
  </cols>
  <sheetData>
    <row r="1" spans="1:12" ht="21" x14ac:dyDescent="0.4">
      <c r="A1" s="186" t="s">
        <v>109</v>
      </c>
      <c r="B1" s="186"/>
      <c r="C1" s="186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21" x14ac:dyDescent="0.4">
      <c r="A2" s="186" t="s">
        <v>236</v>
      </c>
      <c r="B2" s="186"/>
      <c r="C2" s="186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21" x14ac:dyDescent="0.4">
      <c r="A3" s="186" t="s">
        <v>414</v>
      </c>
      <c r="B3" s="186"/>
      <c r="C3" s="186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21" x14ac:dyDescent="0.4">
      <c r="A4" s="122" t="s">
        <v>11</v>
      </c>
      <c r="B4" s="171" t="s">
        <v>2</v>
      </c>
      <c r="C4" s="172" t="s">
        <v>237</v>
      </c>
      <c r="D4" s="113"/>
      <c r="E4" s="113"/>
      <c r="F4" s="113"/>
      <c r="G4" s="113"/>
      <c r="H4" s="113"/>
      <c r="I4" s="113"/>
      <c r="J4" s="113"/>
      <c r="K4" s="113"/>
      <c r="L4" s="113"/>
    </row>
    <row r="5" spans="1:12" ht="21" x14ac:dyDescent="0.4">
      <c r="A5" s="123"/>
      <c r="B5" s="165"/>
      <c r="C5" s="164"/>
      <c r="D5" s="113"/>
      <c r="E5" s="113"/>
      <c r="F5" s="113"/>
      <c r="G5" s="113"/>
      <c r="H5" s="113"/>
      <c r="I5" s="113"/>
      <c r="J5" s="113"/>
      <c r="K5" s="113"/>
      <c r="L5" s="113"/>
    </row>
    <row r="6" spans="1:12" ht="21" x14ac:dyDescent="0.4">
      <c r="A6" s="166" t="s">
        <v>34</v>
      </c>
      <c r="B6" s="167">
        <v>3003241</v>
      </c>
      <c r="C6" s="167">
        <v>2221441.6800000002</v>
      </c>
      <c r="D6" s="113"/>
      <c r="E6" s="113"/>
      <c r="F6" s="113"/>
      <c r="G6" s="113"/>
      <c r="H6" s="113"/>
      <c r="I6" s="113"/>
      <c r="J6" s="113"/>
      <c r="K6" s="113"/>
      <c r="L6" s="113"/>
    </row>
    <row r="7" spans="1:12" ht="21" x14ac:dyDescent="0.4">
      <c r="A7" s="168" t="s">
        <v>224</v>
      </c>
      <c r="B7" s="169">
        <v>2624640</v>
      </c>
      <c r="C7" s="169">
        <v>2624640</v>
      </c>
      <c r="D7" s="113"/>
      <c r="E7" s="113"/>
      <c r="F7" s="113"/>
      <c r="G7" s="113"/>
      <c r="H7" s="113"/>
      <c r="I7" s="113"/>
      <c r="J7" s="113"/>
      <c r="K7" s="113"/>
      <c r="L7" s="113"/>
    </row>
    <row r="8" spans="1:12" ht="21" x14ac:dyDescent="0.4">
      <c r="A8" s="168" t="s">
        <v>225</v>
      </c>
      <c r="B8" s="169">
        <v>8819560</v>
      </c>
      <c r="C8" s="169">
        <v>8704527.8599999994</v>
      </c>
      <c r="D8" s="113"/>
      <c r="E8" s="113"/>
      <c r="F8" s="113"/>
      <c r="G8" s="113"/>
      <c r="H8" s="113"/>
      <c r="I8" s="113"/>
      <c r="J8" s="113"/>
      <c r="K8" s="113"/>
      <c r="L8" s="113"/>
    </row>
    <row r="9" spans="1:12" ht="21" x14ac:dyDescent="0.4">
      <c r="A9" s="168" t="s">
        <v>114</v>
      </c>
      <c r="B9" s="169">
        <v>1167629</v>
      </c>
      <c r="C9" s="169">
        <v>1158850</v>
      </c>
      <c r="D9" s="113"/>
      <c r="E9" s="113"/>
      <c r="F9" s="113"/>
      <c r="G9" s="113"/>
      <c r="H9" s="113"/>
      <c r="I9" s="113"/>
      <c r="J9" s="113"/>
      <c r="K9" s="113"/>
      <c r="L9" s="113"/>
    </row>
    <row r="10" spans="1:12" ht="21" x14ac:dyDescent="0.4">
      <c r="A10" s="168" t="s">
        <v>115</v>
      </c>
      <c r="B10" s="169">
        <v>4447550</v>
      </c>
      <c r="C10" s="169">
        <v>3808444.3</v>
      </c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ht="21" x14ac:dyDescent="0.4">
      <c r="A11" s="168" t="s">
        <v>238</v>
      </c>
      <c r="B11" s="169">
        <v>2373360</v>
      </c>
      <c r="C11" s="170">
        <v>1994508.83</v>
      </c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ht="21" x14ac:dyDescent="0.4">
      <c r="A12" s="168" t="s">
        <v>117</v>
      </c>
      <c r="B12" s="169">
        <v>1355000</v>
      </c>
      <c r="C12" s="169">
        <v>1231880.28</v>
      </c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ht="21" x14ac:dyDescent="0.4">
      <c r="A13" s="168" t="s">
        <v>118</v>
      </c>
      <c r="B13" s="169">
        <v>1755000</v>
      </c>
      <c r="C13" s="169">
        <v>1714210.57</v>
      </c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ht="21" x14ac:dyDescent="0.4">
      <c r="A14" s="168" t="s">
        <v>239</v>
      </c>
      <c r="B14" s="169">
        <v>1758800</v>
      </c>
      <c r="C14" s="169">
        <v>1518245</v>
      </c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ht="21" x14ac:dyDescent="0.4">
      <c r="A15" s="168" t="s">
        <v>240</v>
      </c>
      <c r="B15" s="169">
        <v>4803500</v>
      </c>
      <c r="C15" s="169">
        <v>4609271</v>
      </c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ht="21" x14ac:dyDescent="0.4">
      <c r="A16" s="121" t="s">
        <v>410</v>
      </c>
      <c r="B16" s="173">
        <v>891720</v>
      </c>
      <c r="C16" s="173">
        <v>889620.3</v>
      </c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ht="21.6" thickBot="1" x14ac:dyDescent="0.45">
      <c r="A17" s="119" t="s">
        <v>121</v>
      </c>
      <c r="B17" s="120">
        <f>SUM(B6:B16)</f>
        <v>33000000</v>
      </c>
      <c r="C17" s="120">
        <f>SUM(C6:C16)</f>
        <v>30475639.820000004</v>
      </c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ht="21.6" thickTop="1" x14ac:dyDescent="0.4">
      <c r="A18" s="113"/>
      <c r="B18" s="114"/>
      <c r="C18" s="114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ht="21" x14ac:dyDescent="0.4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</row>
    <row r="20" spans="1:12" ht="21" x14ac:dyDescent="0.4">
      <c r="A20" s="113"/>
      <c r="B20" s="113"/>
      <c r="C20" s="118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ht="21" x14ac:dyDescent="0.4">
      <c r="A21" s="113"/>
      <c r="B21" s="113"/>
      <c r="C21" s="118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ht="21" x14ac:dyDescent="0.4">
      <c r="A22" s="113"/>
      <c r="B22" s="113"/>
      <c r="C22" s="118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ht="21" x14ac:dyDescent="0.4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ht="21" x14ac:dyDescent="0.4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ht="21" x14ac:dyDescent="0.4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ht="21" x14ac:dyDescent="0.4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ht="21" x14ac:dyDescent="0.4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ht="21" x14ac:dyDescent="0.4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ht="21" x14ac:dyDescent="0.4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ht="21" x14ac:dyDescent="0.4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ht="21" x14ac:dyDescent="0.4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ht="21" x14ac:dyDescent="0.4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ht="21" x14ac:dyDescent="0.4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ht="21" x14ac:dyDescent="0.4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</row>
    <row r="35" spans="1:12" ht="21" x14ac:dyDescent="0.4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ht="21" x14ac:dyDescent="0.4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ht="21" x14ac:dyDescent="0.4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ht="21" x14ac:dyDescent="0.4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ht="21" x14ac:dyDescent="0.4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ht="21" x14ac:dyDescent="0.4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ht="21" x14ac:dyDescent="0.4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</sheetData>
  <mergeCells count="3">
    <mergeCell ref="A1:C1"/>
    <mergeCell ref="A2:C2"/>
    <mergeCell ref="A3:C3"/>
  </mergeCells>
  <pageMargins left="0.38" right="0.14000000000000001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12</vt:i4>
      </vt:variant>
    </vt:vector>
  </HeadingPairs>
  <TitlesOfParts>
    <vt:vector size="26" baseType="lpstr">
      <vt:lpstr>สังคม</vt:lpstr>
      <vt:lpstr>รักษาฯ</vt:lpstr>
      <vt:lpstr>บริหารทั่วไป</vt:lpstr>
      <vt:lpstr>เข็มแข็ง</vt:lpstr>
      <vt:lpstr>เคหะ</vt:lpstr>
      <vt:lpstr>การศึกษา</vt:lpstr>
      <vt:lpstr>เกษตร</vt:lpstr>
      <vt:lpstr>ศาสนา</vt:lpstr>
      <vt:lpstr>พาณิชย์</vt:lpstr>
      <vt:lpstr>สาธารณสุข</vt:lpstr>
      <vt:lpstr>งบกลาง</vt:lpstr>
      <vt:lpstr>งบแสดงผล</vt:lpstr>
      <vt:lpstr>สรุปตามแผน</vt:lpstr>
      <vt:lpstr>Sheet1</vt:lpstr>
      <vt:lpstr>การศึกษา!Print_Area</vt:lpstr>
      <vt:lpstr>เกษตร!Print_Area</vt:lpstr>
      <vt:lpstr>เข็มแข็ง!Print_Area</vt:lpstr>
      <vt:lpstr>เคหะ!Print_Area</vt:lpstr>
      <vt:lpstr>งบกลาง!Print_Area</vt:lpstr>
      <vt:lpstr>งบแสดงผล!Print_Area</vt:lpstr>
      <vt:lpstr>บริหารทั่วไป!Print_Area</vt:lpstr>
      <vt:lpstr>พาณิชย์!Print_Area</vt:lpstr>
      <vt:lpstr>รักษาฯ!Print_Area</vt:lpstr>
      <vt:lpstr>ศาสนา!Print_Area</vt:lpstr>
      <vt:lpstr>สังคม!Print_Area</vt:lpstr>
      <vt:lpstr>สาธารณสุข!Print_Area</vt:lpstr>
    </vt:vector>
  </TitlesOfParts>
  <Company>HATKRUAT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FINANCE01</dc:creator>
  <cp:lastModifiedBy>user</cp:lastModifiedBy>
  <cp:lastPrinted>2015-01-23T02:16:23Z</cp:lastPrinted>
  <dcterms:created xsi:type="dcterms:W3CDTF">2012-10-09T05:38:22Z</dcterms:created>
  <dcterms:modified xsi:type="dcterms:W3CDTF">2015-07-06T09:40:09Z</dcterms:modified>
</cp:coreProperties>
</file>