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875" activeTab="11"/>
  </bookViews>
  <sheets>
    <sheet name="สังคม" sheetId="14" r:id="rId1"/>
    <sheet name="รักษาฯ" sheetId="13" r:id="rId2"/>
    <sheet name="บริหารทั่วไป" sheetId="11" r:id="rId3"/>
    <sheet name="เข็มแข็ง" sheetId="10" r:id="rId4"/>
    <sheet name="เคหะ" sheetId="9" r:id="rId5"/>
    <sheet name="การศึกษา" sheetId="8" r:id="rId6"/>
    <sheet name="เกษตร" sheetId="7" r:id="rId7"/>
    <sheet name="ศาสนา" sheetId="6" r:id="rId8"/>
    <sheet name="พาณิชย์" sheetId="5" r:id="rId9"/>
    <sheet name="สาธารณสุข" sheetId="4" r:id="rId10"/>
    <sheet name="งบกลาง" sheetId="1" r:id="rId11"/>
    <sheet name="งบแสดงผล" sheetId="15" r:id="rId12"/>
    <sheet name="Sheet2" sheetId="16" r:id="rId13"/>
  </sheets>
  <definedNames>
    <definedName name="_xlnm.Print_Area" localSheetId="5">การศึกษา!$A$1:$M$155</definedName>
    <definedName name="_xlnm.Print_Area" localSheetId="6">เกษตร!$A$1:$L$66</definedName>
    <definedName name="_xlnm.Print_Area" localSheetId="3">เข็มแข็ง!$A$1:$L$44</definedName>
    <definedName name="_xlnm.Print_Area" localSheetId="4">เคหะ!$A$1:$V$190</definedName>
    <definedName name="_xlnm.Print_Area" localSheetId="10">งบกลาง!$A$1:$K$30</definedName>
    <definedName name="_xlnm.Print_Area" localSheetId="11">งบแสดงผล!$A$1:$P$74</definedName>
    <definedName name="_xlnm.Print_Area" localSheetId="2">บริหารทั่วไป!$A$1:$L$220</definedName>
    <definedName name="_xlnm.Print_Area" localSheetId="8">พาณิชย์!$A$1:$K$43</definedName>
    <definedName name="_xlnm.Print_Area" localSheetId="1">รักษาฯ!$A$1:$L$20</definedName>
    <definedName name="_xlnm.Print_Area" localSheetId="7">ศาสนา!$A$1:$M$46</definedName>
    <definedName name="_xlnm.Print_Area" localSheetId="0">สังคม!$A$1:$K$34</definedName>
    <definedName name="_xlnm.Print_Area" localSheetId="9">สาธารณสุข!$A$1:$L$52</definedName>
  </definedNames>
  <calcPr calcId="124519"/>
</workbook>
</file>

<file path=xl/calcChain.xml><?xml version="1.0" encoding="utf-8"?>
<calcChain xmlns="http://schemas.openxmlformats.org/spreadsheetml/2006/main">
  <c r="B42" i="15"/>
  <c r="C46"/>
  <c r="C42"/>
  <c r="M27"/>
  <c r="F30"/>
  <c r="C30" s="1"/>
  <c r="C29"/>
  <c r="C26"/>
  <c r="C25"/>
  <c r="C24"/>
  <c r="C23"/>
  <c r="C22"/>
  <c r="C21"/>
  <c r="C20"/>
  <c r="C19"/>
  <c r="N27"/>
  <c r="L27"/>
  <c r="K27"/>
  <c r="J27"/>
  <c r="I27"/>
  <c r="H27"/>
  <c r="G27"/>
  <c r="F27"/>
  <c r="E27"/>
  <c r="D27"/>
  <c r="C27" s="1"/>
  <c r="H17"/>
  <c r="H31" s="1"/>
  <c r="B17"/>
  <c r="J17" i="11"/>
  <c r="J16"/>
  <c r="J15"/>
  <c r="J14"/>
  <c r="J13"/>
  <c r="J12"/>
  <c r="H25" i="7"/>
  <c r="I25"/>
  <c r="H26"/>
  <c r="I37"/>
  <c r="I26"/>
  <c r="J20"/>
  <c r="J34" i="8"/>
  <c r="K7" i="6"/>
  <c r="K9" i="10"/>
  <c r="I72" i="11"/>
  <c r="J72"/>
  <c r="I44" i="8"/>
  <c r="K47" i="11"/>
  <c r="I47" s="1"/>
  <c r="K80"/>
  <c r="I80" s="1"/>
  <c r="J11" i="8"/>
  <c r="J42" i="11"/>
  <c r="J37"/>
  <c r="J12" i="1"/>
  <c r="J10"/>
  <c r="L16" i="15"/>
  <c r="F16"/>
  <c r="E16"/>
  <c r="D16"/>
  <c r="F15"/>
  <c r="D15"/>
  <c r="L14"/>
  <c r="K14"/>
  <c r="J14"/>
  <c r="G14"/>
  <c r="F14"/>
  <c r="L13"/>
  <c r="F13"/>
  <c r="M12"/>
  <c r="L12"/>
  <c r="K12"/>
  <c r="G12"/>
  <c r="D12"/>
  <c r="L11"/>
  <c r="L17" s="1"/>
  <c r="L31" s="1"/>
  <c r="G11"/>
  <c r="E11"/>
  <c r="E17" s="1"/>
  <c r="E31" s="1"/>
  <c r="M10"/>
  <c r="G10"/>
  <c r="F10"/>
  <c r="M9"/>
  <c r="G9"/>
  <c r="D9"/>
  <c r="D8"/>
  <c r="C8" s="1"/>
  <c r="M7"/>
  <c r="G7"/>
  <c r="G17" s="1"/>
  <c r="G31" s="1"/>
  <c r="F7"/>
  <c r="G22" i="1"/>
  <c r="J21"/>
  <c r="I21"/>
  <c r="H21"/>
  <c r="G21"/>
  <c r="J17"/>
  <c r="J22" s="1"/>
  <c r="N6" i="15" s="1"/>
  <c r="N17" s="1"/>
  <c r="N31" s="1"/>
  <c r="G17" i="1"/>
  <c r="J52" i="4"/>
  <c r="I52"/>
  <c r="H52"/>
  <c r="K52"/>
  <c r="G52"/>
  <c r="K51"/>
  <c r="J51"/>
  <c r="I51"/>
  <c r="H51"/>
  <c r="G51"/>
  <c r="K50"/>
  <c r="J50"/>
  <c r="I50"/>
  <c r="H50"/>
  <c r="G50"/>
  <c r="K49"/>
  <c r="J49"/>
  <c r="I49"/>
  <c r="H49"/>
  <c r="G49"/>
  <c r="K45"/>
  <c r="J45"/>
  <c r="I45"/>
  <c r="H45"/>
  <c r="G45"/>
  <c r="K39"/>
  <c r="J39"/>
  <c r="I39"/>
  <c r="H39"/>
  <c r="G39"/>
  <c r="K36"/>
  <c r="J36"/>
  <c r="I36"/>
  <c r="H36"/>
  <c r="G36"/>
  <c r="K33"/>
  <c r="J33"/>
  <c r="I33"/>
  <c r="H33"/>
  <c r="G33"/>
  <c r="K23"/>
  <c r="J23"/>
  <c r="I23"/>
  <c r="H23"/>
  <c r="K20"/>
  <c r="J20"/>
  <c r="I20"/>
  <c r="H20"/>
  <c r="G20"/>
  <c r="K17"/>
  <c r="J17"/>
  <c r="I17"/>
  <c r="H17"/>
  <c r="G17"/>
  <c r="K13"/>
  <c r="J13"/>
  <c r="I13"/>
  <c r="H13"/>
  <c r="G13"/>
  <c r="K9"/>
  <c r="J9"/>
  <c r="I9"/>
  <c r="H9"/>
  <c r="G9"/>
  <c r="H39" i="5"/>
  <c r="H40" s="1"/>
  <c r="H41" s="1"/>
  <c r="H43" s="1"/>
  <c r="J43"/>
  <c r="I43"/>
  <c r="G43"/>
  <c r="J42"/>
  <c r="I42"/>
  <c r="H42"/>
  <c r="G42"/>
  <c r="J41"/>
  <c r="I41"/>
  <c r="G41"/>
  <c r="J40"/>
  <c r="I40"/>
  <c r="G40"/>
  <c r="J37"/>
  <c r="I37"/>
  <c r="H37"/>
  <c r="G37"/>
  <c r="J24"/>
  <c r="I24"/>
  <c r="H24"/>
  <c r="G24"/>
  <c r="J21"/>
  <c r="I21"/>
  <c r="H21"/>
  <c r="G21"/>
  <c r="J17"/>
  <c r="I17"/>
  <c r="H17"/>
  <c r="G17"/>
  <c r="J14"/>
  <c r="I14"/>
  <c r="H14"/>
  <c r="G14"/>
  <c r="J9"/>
  <c r="I9"/>
  <c r="H9"/>
  <c r="G9"/>
  <c r="J24" i="6"/>
  <c r="G24"/>
  <c r="J23"/>
  <c r="G23"/>
  <c r="K22"/>
  <c r="J22"/>
  <c r="I22"/>
  <c r="H22"/>
  <c r="G22"/>
  <c r="K21"/>
  <c r="J21"/>
  <c r="I21"/>
  <c r="H21"/>
  <c r="G21"/>
  <c r="K14"/>
  <c r="J14"/>
  <c r="I14"/>
  <c r="H14"/>
  <c r="G14"/>
  <c r="K11"/>
  <c r="K23" s="1"/>
  <c r="K24" s="1"/>
  <c r="J11"/>
  <c r="G11"/>
  <c r="K55" i="7"/>
  <c r="G55"/>
  <c r="K54"/>
  <c r="G54"/>
  <c r="K53"/>
  <c r="G53"/>
  <c r="K52"/>
  <c r="J52"/>
  <c r="I52"/>
  <c r="H52"/>
  <c r="G52"/>
  <c r="K49"/>
  <c r="J49"/>
  <c r="I49"/>
  <c r="H49"/>
  <c r="G49"/>
  <c r="K46"/>
  <c r="J46"/>
  <c r="I46"/>
  <c r="H46"/>
  <c r="K43"/>
  <c r="J43"/>
  <c r="I43"/>
  <c r="H43"/>
  <c r="G43"/>
  <c r="H40"/>
  <c r="K40"/>
  <c r="J40"/>
  <c r="I40"/>
  <c r="G40"/>
  <c r="K37"/>
  <c r="J37"/>
  <c r="J54" s="1"/>
  <c r="I54"/>
  <c r="H37"/>
  <c r="H54" s="1"/>
  <c r="G37"/>
  <c r="K22"/>
  <c r="J22"/>
  <c r="J53" s="1"/>
  <c r="G22"/>
  <c r="K18"/>
  <c r="J18"/>
  <c r="I18"/>
  <c r="H18"/>
  <c r="G18"/>
  <c r="K13"/>
  <c r="J13"/>
  <c r="I13"/>
  <c r="H13"/>
  <c r="G13"/>
  <c r="K9"/>
  <c r="J9"/>
  <c r="I9"/>
  <c r="H9"/>
  <c r="G9"/>
  <c r="H81" i="8"/>
  <c r="I81"/>
  <c r="J86"/>
  <c r="K99"/>
  <c r="K97"/>
  <c r="K86"/>
  <c r="K100"/>
  <c r="G100"/>
  <c r="G99"/>
  <c r="L98"/>
  <c r="K98"/>
  <c r="G98"/>
  <c r="I97"/>
  <c r="H97"/>
  <c r="L97"/>
  <c r="J97"/>
  <c r="G97"/>
  <c r="L86"/>
  <c r="G86"/>
  <c r="L69"/>
  <c r="K69"/>
  <c r="J69"/>
  <c r="I69"/>
  <c r="H69"/>
  <c r="G69"/>
  <c r="H66"/>
  <c r="L66"/>
  <c r="K66"/>
  <c r="J66"/>
  <c r="I66"/>
  <c r="G66"/>
  <c r="K52"/>
  <c r="I52"/>
  <c r="H52"/>
  <c r="L52"/>
  <c r="J52"/>
  <c r="G52"/>
  <c r="L47"/>
  <c r="L99" s="1"/>
  <c r="L100" s="1"/>
  <c r="I47"/>
  <c r="F12" i="15" s="1"/>
  <c r="K47" i="8"/>
  <c r="J47"/>
  <c r="G47"/>
  <c r="L38"/>
  <c r="K38"/>
  <c r="J38"/>
  <c r="J99" s="1"/>
  <c r="G38"/>
  <c r="L21"/>
  <c r="K21"/>
  <c r="J21"/>
  <c r="I21"/>
  <c r="H21"/>
  <c r="G21"/>
  <c r="L18"/>
  <c r="K18"/>
  <c r="J18"/>
  <c r="I18"/>
  <c r="H18"/>
  <c r="G18"/>
  <c r="L13"/>
  <c r="K13"/>
  <c r="J13"/>
  <c r="J98" s="1"/>
  <c r="G13"/>
  <c r="L9"/>
  <c r="K9"/>
  <c r="J9"/>
  <c r="I9"/>
  <c r="H9"/>
  <c r="G9"/>
  <c r="L87" i="9"/>
  <c r="K87"/>
  <c r="J87"/>
  <c r="I87"/>
  <c r="L81"/>
  <c r="K81"/>
  <c r="J81"/>
  <c r="L53"/>
  <c r="K53"/>
  <c r="J53"/>
  <c r="K47"/>
  <c r="L47"/>
  <c r="J47"/>
  <c r="J42"/>
  <c r="L42"/>
  <c r="K42"/>
  <c r="K39"/>
  <c r="L39"/>
  <c r="J39"/>
  <c r="K35"/>
  <c r="J35"/>
  <c r="L35"/>
  <c r="L21"/>
  <c r="L89" s="1"/>
  <c r="K21"/>
  <c r="K89" s="1"/>
  <c r="J21"/>
  <c r="J89" s="1"/>
  <c r="I21"/>
  <c r="H21"/>
  <c r="L18"/>
  <c r="K18"/>
  <c r="J18"/>
  <c r="L13"/>
  <c r="K13"/>
  <c r="J13"/>
  <c r="L9"/>
  <c r="L88" s="1"/>
  <c r="L90" s="1"/>
  <c r="K9"/>
  <c r="K88" s="1"/>
  <c r="J9"/>
  <c r="J88" s="1"/>
  <c r="J90" s="1"/>
  <c r="J28" i="10"/>
  <c r="G28"/>
  <c r="J27"/>
  <c r="G27"/>
  <c r="K26"/>
  <c r="J26"/>
  <c r="I26"/>
  <c r="H26"/>
  <c r="G26"/>
  <c r="K25"/>
  <c r="J25"/>
  <c r="I25"/>
  <c r="H25"/>
  <c r="H22"/>
  <c r="K22"/>
  <c r="J22"/>
  <c r="I22"/>
  <c r="G22"/>
  <c r="K15"/>
  <c r="K27" s="1"/>
  <c r="K28" s="1"/>
  <c r="J15"/>
  <c r="G15"/>
  <c r="B15"/>
  <c r="G12" i="14"/>
  <c r="B15"/>
  <c r="G121" i="11"/>
  <c r="K120"/>
  <c r="J120"/>
  <c r="I120"/>
  <c r="H120"/>
  <c r="G120"/>
  <c r="G119"/>
  <c r="K118"/>
  <c r="J118"/>
  <c r="I118"/>
  <c r="H118"/>
  <c r="K114"/>
  <c r="J114"/>
  <c r="I114"/>
  <c r="H114"/>
  <c r="G114"/>
  <c r="J105"/>
  <c r="I105"/>
  <c r="H105"/>
  <c r="K105"/>
  <c r="G105"/>
  <c r="K85"/>
  <c r="J85"/>
  <c r="I85"/>
  <c r="H85"/>
  <c r="K81"/>
  <c r="J81"/>
  <c r="K75"/>
  <c r="J75"/>
  <c r="I75"/>
  <c r="H75"/>
  <c r="K72"/>
  <c r="H72"/>
  <c r="G72"/>
  <c r="H61"/>
  <c r="K61"/>
  <c r="J61"/>
  <c r="I61"/>
  <c r="G61"/>
  <c r="K51"/>
  <c r="J51"/>
  <c r="G51"/>
  <c r="K42"/>
  <c r="G42"/>
  <c r="K27"/>
  <c r="J27"/>
  <c r="I27"/>
  <c r="G27"/>
  <c r="H27"/>
  <c r="K21"/>
  <c r="J21"/>
  <c r="I21"/>
  <c r="H21"/>
  <c r="G21"/>
  <c r="K17"/>
  <c r="J119"/>
  <c r="J121" s="1"/>
  <c r="G17"/>
  <c r="K19" i="13"/>
  <c r="J19"/>
  <c r="I19"/>
  <c r="H19"/>
  <c r="G19"/>
  <c r="F19"/>
  <c r="B19"/>
  <c r="B20"/>
  <c r="B18"/>
  <c r="G14"/>
  <c r="B14"/>
  <c r="G10"/>
  <c r="F10"/>
  <c r="B10"/>
  <c r="K20"/>
  <c r="J20"/>
  <c r="I20"/>
  <c r="H20"/>
  <c r="K18"/>
  <c r="J18"/>
  <c r="I18"/>
  <c r="H18"/>
  <c r="H17"/>
  <c r="K17"/>
  <c r="J17"/>
  <c r="I17"/>
  <c r="B17"/>
  <c r="G17"/>
  <c r="H14"/>
  <c r="G18"/>
  <c r="F17" i="11"/>
  <c r="K14" i="13"/>
  <c r="J14"/>
  <c r="I14"/>
  <c r="K10"/>
  <c r="J10"/>
  <c r="I10"/>
  <c r="H10"/>
  <c r="G15" i="14"/>
  <c r="G14"/>
  <c r="G13"/>
  <c r="J15"/>
  <c r="I15"/>
  <c r="H15"/>
  <c r="J14"/>
  <c r="I14"/>
  <c r="H14"/>
  <c r="J13"/>
  <c r="I13"/>
  <c r="H13"/>
  <c r="J12"/>
  <c r="I12"/>
  <c r="H12"/>
  <c r="J9"/>
  <c r="I9"/>
  <c r="I79" i="9"/>
  <c r="I78"/>
  <c r="I76"/>
  <c r="H36" i="5"/>
  <c r="I36"/>
  <c r="H35"/>
  <c r="I35"/>
  <c r="H29"/>
  <c r="I29"/>
  <c r="H28"/>
  <c r="I28"/>
  <c r="H27"/>
  <c r="I27"/>
  <c r="H26"/>
  <c r="I26"/>
  <c r="I68" i="9"/>
  <c r="I74"/>
  <c r="I73"/>
  <c r="I63"/>
  <c r="I62"/>
  <c r="I60"/>
  <c r="I59"/>
  <c r="I55"/>
  <c r="H23" i="5"/>
  <c r="I50" i="9"/>
  <c r="I53" s="1"/>
  <c r="I15" i="15" s="1"/>
  <c r="I45" i="9"/>
  <c r="I44"/>
  <c r="I47" s="1"/>
  <c r="I14" i="15" s="1"/>
  <c r="H20" i="5"/>
  <c r="I20"/>
  <c r="H16"/>
  <c r="I16"/>
  <c r="H13"/>
  <c r="I13"/>
  <c r="H12"/>
  <c r="I12"/>
  <c r="H11"/>
  <c r="I11"/>
  <c r="I41" i="9"/>
  <c r="I42" s="1"/>
  <c r="I12" i="15" s="1"/>
  <c r="I38" i="9"/>
  <c r="H8" i="5"/>
  <c r="I8"/>
  <c r="H7"/>
  <c r="I7"/>
  <c r="I34" i="9"/>
  <c r="I31"/>
  <c r="I28"/>
  <c r="I27"/>
  <c r="I35" s="1"/>
  <c r="I30"/>
  <c r="I37"/>
  <c r="I39" s="1"/>
  <c r="I17"/>
  <c r="I16"/>
  <c r="I15"/>
  <c r="I12"/>
  <c r="I11"/>
  <c r="I8"/>
  <c r="I7"/>
  <c r="H96" i="8"/>
  <c r="I96"/>
  <c r="I95"/>
  <c r="H95" s="1"/>
  <c r="H92"/>
  <c r="I92"/>
  <c r="H91"/>
  <c r="I91"/>
  <c r="H90"/>
  <c r="I90"/>
  <c r="H94"/>
  <c r="I94"/>
  <c r="H83"/>
  <c r="I83"/>
  <c r="I86"/>
  <c r="H71"/>
  <c r="I71"/>
  <c r="H68"/>
  <c r="I68"/>
  <c r="H65"/>
  <c r="H63"/>
  <c r="H59"/>
  <c r="H57"/>
  <c r="H56"/>
  <c r="H20" i="6"/>
  <c r="H18"/>
  <c r="I18"/>
  <c r="H17"/>
  <c r="H51" i="8"/>
  <c r="I51"/>
  <c r="H50"/>
  <c r="I50"/>
  <c r="H49"/>
  <c r="I49"/>
  <c r="H46"/>
  <c r="I46"/>
  <c r="H45"/>
  <c r="I45"/>
  <c r="H44"/>
  <c r="H47" s="1"/>
  <c r="H42"/>
  <c r="I42"/>
  <c r="H41"/>
  <c r="I41"/>
  <c r="H13" i="6"/>
  <c r="I13"/>
  <c r="H40" i="8"/>
  <c r="I40"/>
  <c r="H37"/>
  <c r="I37"/>
  <c r="H36"/>
  <c r="I36"/>
  <c r="H34"/>
  <c r="H38" s="1"/>
  <c r="I34"/>
  <c r="I38" s="1"/>
  <c r="F11" i="15" s="1"/>
  <c r="H13" i="10"/>
  <c r="H12"/>
  <c r="I12"/>
  <c r="H33" i="8"/>
  <c r="I33"/>
  <c r="H8" i="6"/>
  <c r="I8"/>
  <c r="H25" i="8"/>
  <c r="I25"/>
  <c r="I7" i="6"/>
  <c r="I11" s="1"/>
  <c r="H20" i="8"/>
  <c r="I20"/>
  <c r="H24"/>
  <c r="I24"/>
  <c r="H23"/>
  <c r="I23"/>
  <c r="F23"/>
  <c r="H24" i="10"/>
  <c r="H17" i="8"/>
  <c r="I17"/>
  <c r="H16"/>
  <c r="I16"/>
  <c r="H15"/>
  <c r="I15"/>
  <c r="H12"/>
  <c r="I12"/>
  <c r="I11"/>
  <c r="H11" s="1"/>
  <c r="H13" s="1"/>
  <c r="H98" s="1"/>
  <c r="H8"/>
  <c r="I8"/>
  <c r="H7"/>
  <c r="I7"/>
  <c r="H44" i="4"/>
  <c r="H48"/>
  <c r="H47"/>
  <c r="I48"/>
  <c r="I47"/>
  <c r="H43"/>
  <c r="H42"/>
  <c r="H38"/>
  <c r="I38"/>
  <c r="H35"/>
  <c r="I35"/>
  <c r="H32"/>
  <c r="H29"/>
  <c r="H28"/>
  <c r="I28"/>
  <c r="H27"/>
  <c r="H26"/>
  <c r="H22"/>
  <c r="I22"/>
  <c r="H25"/>
  <c r="H19"/>
  <c r="H16"/>
  <c r="I16"/>
  <c r="H15"/>
  <c r="H12"/>
  <c r="I12"/>
  <c r="H11"/>
  <c r="I11"/>
  <c r="H8"/>
  <c r="I8"/>
  <c r="H7"/>
  <c r="I7"/>
  <c r="H48" i="7"/>
  <c r="H45"/>
  <c r="H42"/>
  <c r="H39"/>
  <c r="I39"/>
  <c r="H36"/>
  <c r="H34"/>
  <c r="I34"/>
  <c r="H31"/>
  <c r="I31"/>
  <c r="H29"/>
  <c r="H28"/>
  <c r="H27"/>
  <c r="I20"/>
  <c r="H20" s="1"/>
  <c r="H22" s="1"/>
  <c r="H53" s="1"/>
  <c r="H24"/>
  <c r="H17"/>
  <c r="I17"/>
  <c r="H16"/>
  <c r="I16"/>
  <c r="H15"/>
  <c r="I15"/>
  <c r="H12"/>
  <c r="I12"/>
  <c r="H11"/>
  <c r="I11"/>
  <c r="H8"/>
  <c r="I8"/>
  <c r="H7"/>
  <c r="I7"/>
  <c r="H108" i="11"/>
  <c r="I108"/>
  <c r="H71"/>
  <c r="I71"/>
  <c r="H70"/>
  <c r="I70"/>
  <c r="H60"/>
  <c r="I60"/>
  <c r="H59"/>
  <c r="I59"/>
  <c r="I50"/>
  <c r="H50" s="1"/>
  <c r="H49"/>
  <c r="I49"/>
  <c r="H48"/>
  <c r="I48"/>
  <c r="H41"/>
  <c r="I41"/>
  <c r="H40"/>
  <c r="I40"/>
  <c r="H39"/>
  <c r="I39"/>
  <c r="H26"/>
  <c r="I26"/>
  <c r="H25"/>
  <c r="I25"/>
  <c r="I10"/>
  <c r="H10" s="1"/>
  <c r="H9"/>
  <c r="I9"/>
  <c r="H20" i="1"/>
  <c r="I20"/>
  <c r="H16"/>
  <c r="I16"/>
  <c r="H14"/>
  <c r="I14"/>
  <c r="H19"/>
  <c r="I19"/>
  <c r="I12"/>
  <c r="H12" s="1"/>
  <c r="H11"/>
  <c r="I11"/>
  <c r="I10"/>
  <c r="H10" s="1"/>
  <c r="H9"/>
  <c r="I9"/>
  <c r="H8"/>
  <c r="I8"/>
  <c r="H117" i="11"/>
  <c r="I117"/>
  <c r="H116"/>
  <c r="I116"/>
  <c r="H16" i="13"/>
  <c r="I16"/>
  <c r="H112" i="11"/>
  <c r="H111"/>
  <c r="H110"/>
  <c r="H113"/>
  <c r="H97"/>
  <c r="H104"/>
  <c r="H102"/>
  <c r="I102"/>
  <c r="H96"/>
  <c r="I96"/>
  <c r="H95"/>
  <c r="I95"/>
  <c r="H109"/>
  <c r="I109"/>
  <c r="H101"/>
  <c r="H100"/>
  <c r="I101"/>
  <c r="I100"/>
  <c r="H92"/>
  <c r="H91"/>
  <c r="H90"/>
  <c r="H89"/>
  <c r="H88"/>
  <c r="I92"/>
  <c r="I91"/>
  <c r="I90"/>
  <c r="I89"/>
  <c r="I88"/>
  <c r="J92"/>
  <c r="J91"/>
  <c r="J90"/>
  <c r="J89"/>
  <c r="J88"/>
  <c r="H84"/>
  <c r="H21" i="10"/>
  <c r="H13" i="13"/>
  <c r="H20" i="10"/>
  <c r="I20"/>
  <c r="H19"/>
  <c r="H79" i="11"/>
  <c r="I79"/>
  <c r="H78"/>
  <c r="I78"/>
  <c r="H77"/>
  <c r="I77"/>
  <c r="H69"/>
  <c r="I69"/>
  <c r="H68"/>
  <c r="H67"/>
  <c r="I67"/>
  <c r="H74"/>
  <c r="I74"/>
  <c r="H66"/>
  <c r="I66"/>
  <c r="H65"/>
  <c r="H46"/>
  <c r="I46"/>
  <c r="H11" i="10"/>
  <c r="I11"/>
  <c r="H58" i="11"/>
  <c r="I58"/>
  <c r="H10" i="10"/>
  <c r="I10"/>
  <c r="H57" i="11"/>
  <c r="H9" i="13"/>
  <c r="I9" i="10"/>
  <c r="I15" s="1"/>
  <c r="H8"/>
  <c r="I8"/>
  <c r="H8" i="13"/>
  <c r="I8"/>
  <c r="H56" i="11"/>
  <c r="I56"/>
  <c r="H55"/>
  <c r="I55"/>
  <c r="H54"/>
  <c r="H45"/>
  <c r="I45"/>
  <c r="H44"/>
  <c r="I44"/>
  <c r="H53"/>
  <c r="I53"/>
  <c r="H38"/>
  <c r="H34"/>
  <c r="H32"/>
  <c r="H36"/>
  <c r="H35"/>
  <c r="I37"/>
  <c r="I42" s="1"/>
  <c r="I36"/>
  <c r="I35"/>
  <c r="I34"/>
  <c r="I33"/>
  <c r="I32"/>
  <c r="H24"/>
  <c r="H23"/>
  <c r="I24"/>
  <c r="I23"/>
  <c r="H20"/>
  <c r="H19"/>
  <c r="I20"/>
  <c r="I19"/>
  <c r="I16"/>
  <c r="H16" s="1"/>
  <c r="I15"/>
  <c r="H15" s="1"/>
  <c r="I14"/>
  <c r="H14" s="1"/>
  <c r="I13"/>
  <c r="H13" s="1"/>
  <c r="I12"/>
  <c r="H12" s="1"/>
  <c r="H8"/>
  <c r="I8"/>
  <c r="H7"/>
  <c r="I7"/>
  <c r="G118"/>
  <c r="F118"/>
  <c r="D118"/>
  <c r="B118"/>
  <c r="B119"/>
  <c r="D114"/>
  <c r="D105"/>
  <c r="D72"/>
  <c r="D61"/>
  <c r="D51"/>
  <c r="D42"/>
  <c r="D27"/>
  <c r="D17"/>
  <c r="D99" i="8"/>
  <c r="D97"/>
  <c r="D69"/>
  <c r="F69"/>
  <c r="B9" i="7"/>
  <c r="B13"/>
  <c r="D98" i="8"/>
  <c r="G29" i="9"/>
  <c r="F35"/>
  <c r="B98" i="8"/>
  <c r="F97"/>
  <c r="B97"/>
  <c r="F86"/>
  <c r="B86"/>
  <c r="B69"/>
  <c r="F66"/>
  <c r="D66"/>
  <c r="B66"/>
  <c r="F52"/>
  <c r="D52"/>
  <c r="B52"/>
  <c r="F47"/>
  <c r="D47"/>
  <c r="B47"/>
  <c r="F38"/>
  <c r="D38"/>
  <c r="B38"/>
  <c r="F21"/>
  <c r="D21"/>
  <c r="B21"/>
  <c r="F18"/>
  <c r="D18"/>
  <c r="B18"/>
  <c r="F13"/>
  <c r="D13"/>
  <c r="B13"/>
  <c r="F9"/>
  <c r="D9"/>
  <c r="B9"/>
  <c r="G11" i="7"/>
  <c r="D13"/>
  <c r="G9" i="13"/>
  <c r="D12" i="7"/>
  <c r="D15" i="9"/>
  <c r="F16"/>
  <c r="F41" i="8"/>
  <c r="F13" i="6"/>
  <c r="F40" i="8"/>
  <c r="G20"/>
  <c r="D46" i="11"/>
  <c r="D12" i="4"/>
  <c r="D11"/>
  <c r="D12" i="8"/>
  <c r="D12" i="9"/>
  <c r="D11"/>
  <c r="F27" i="10"/>
  <c r="F15"/>
  <c r="F7" i="6"/>
  <c r="F14" i="10"/>
  <c r="F28" i="8"/>
  <c r="F16" i="1"/>
  <c r="F10" i="10"/>
  <c r="F68" i="8"/>
  <c r="F30" i="7"/>
  <c r="F26"/>
  <c r="G97" i="11"/>
  <c r="D39" i="9"/>
  <c r="D18"/>
  <c r="D13"/>
  <c r="F12" i="14"/>
  <c r="F14" s="1"/>
  <c r="D12"/>
  <c r="D14" s="1"/>
  <c r="B12"/>
  <c r="B14" s="1"/>
  <c r="G11"/>
  <c r="H11" s="1"/>
  <c r="F9"/>
  <c r="F13" s="1"/>
  <c r="F15" s="1"/>
  <c r="D9"/>
  <c r="D13" s="1"/>
  <c r="D15" s="1"/>
  <c r="G8"/>
  <c r="H8" s="1"/>
  <c r="H9" s="1"/>
  <c r="F22" i="1"/>
  <c r="D22"/>
  <c r="B22"/>
  <c r="F21"/>
  <c r="D21"/>
  <c r="B21"/>
  <c r="F17"/>
  <c r="D17"/>
  <c r="B17"/>
  <c r="G16"/>
  <c r="G15"/>
  <c r="G14"/>
  <c r="G12"/>
  <c r="G11"/>
  <c r="G10"/>
  <c r="G9"/>
  <c r="G8"/>
  <c r="G19"/>
  <c r="G18"/>
  <c r="F52" i="4"/>
  <c r="D52"/>
  <c r="F51"/>
  <c r="D51"/>
  <c r="F50"/>
  <c r="D50"/>
  <c r="B52"/>
  <c r="B51"/>
  <c r="B50"/>
  <c r="B49"/>
  <c r="F49"/>
  <c r="D49"/>
  <c r="F45"/>
  <c r="D45"/>
  <c r="B45"/>
  <c r="F39"/>
  <c r="D39"/>
  <c r="B39"/>
  <c r="B36"/>
  <c r="F36"/>
  <c r="D36"/>
  <c r="F33"/>
  <c r="D33"/>
  <c r="B33"/>
  <c r="G23"/>
  <c r="F23"/>
  <c r="D23"/>
  <c r="B23"/>
  <c r="F20"/>
  <c r="D20"/>
  <c r="B20"/>
  <c r="F17"/>
  <c r="D17"/>
  <c r="B17"/>
  <c r="F13"/>
  <c r="D13"/>
  <c r="F9"/>
  <c r="D9"/>
  <c r="B9"/>
  <c r="G22"/>
  <c r="G48"/>
  <c r="G47"/>
  <c r="G44"/>
  <c r="G43"/>
  <c r="G42"/>
  <c r="G38"/>
  <c r="G35"/>
  <c r="G32"/>
  <c r="G29"/>
  <c r="G28"/>
  <c r="G27"/>
  <c r="G26"/>
  <c r="G25"/>
  <c r="G19"/>
  <c r="G16"/>
  <c r="G15"/>
  <c r="G7"/>
  <c r="G8"/>
  <c r="F43" i="5"/>
  <c r="D43"/>
  <c r="B43"/>
  <c r="F42"/>
  <c r="D42"/>
  <c r="F41"/>
  <c r="D41"/>
  <c r="B42"/>
  <c r="B41"/>
  <c r="F40"/>
  <c r="D40"/>
  <c r="B40"/>
  <c r="F37"/>
  <c r="D37"/>
  <c r="B37"/>
  <c r="B14"/>
  <c r="B9"/>
  <c r="F24"/>
  <c r="D24"/>
  <c r="B24"/>
  <c r="F21"/>
  <c r="D21"/>
  <c r="B21"/>
  <c r="F17"/>
  <c r="D17"/>
  <c r="B17"/>
  <c r="F14"/>
  <c r="D14"/>
  <c r="F9"/>
  <c r="D9"/>
  <c r="G39"/>
  <c r="G30"/>
  <c r="G35"/>
  <c r="G20"/>
  <c r="G16"/>
  <c r="G13"/>
  <c r="G12"/>
  <c r="G11"/>
  <c r="G7"/>
  <c r="F24" i="6"/>
  <c r="D24"/>
  <c r="B24"/>
  <c r="F23"/>
  <c r="D23"/>
  <c r="F22"/>
  <c r="D22"/>
  <c r="B22"/>
  <c r="F21"/>
  <c r="D21"/>
  <c r="B21"/>
  <c r="F14"/>
  <c r="D14"/>
  <c r="B14"/>
  <c r="F11"/>
  <c r="D11"/>
  <c r="B11"/>
  <c r="G20"/>
  <c r="G18"/>
  <c r="G17"/>
  <c r="G8"/>
  <c r="G7"/>
  <c r="F55" i="7"/>
  <c r="F54"/>
  <c r="D54"/>
  <c r="F53"/>
  <c r="D53"/>
  <c r="D55" s="1"/>
  <c r="B54"/>
  <c r="B53"/>
  <c r="B55" s="1"/>
  <c r="F52"/>
  <c r="D52"/>
  <c r="B52"/>
  <c r="F49"/>
  <c r="D49"/>
  <c r="B49"/>
  <c r="G46"/>
  <c r="F46"/>
  <c r="D46"/>
  <c r="B46"/>
  <c r="F43"/>
  <c r="D43"/>
  <c r="B43"/>
  <c r="F40"/>
  <c r="D40"/>
  <c r="B40"/>
  <c r="F37"/>
  <c r="D37"/>
  <c r="B37"/>
  <c r="F22"/>
  <c r="D22"/>
  <c r="B22"/>
  <c r="F18"/>
  <c r="D18"/>
  <c r="F13"/>
  <c r="F9"/>
  <c r="D9"/>
  <c r="G31"/>
  <c r="G48"/>
  <c r="G45"/>
  <c r="G39"/>
  <c r="G34"/>
  <c r="G29"/>
  <c r="G28"/>
  <c r="G27"/>
  <c r="G25"/>
  <c r="G24"/>
  <c r="G17"/>
  <c r="G16"/>
  <c r="G15"/>
  <c r="G8"/>
  <c r="G7"/>
  <c r="F99" i="8"/>
  <c r="B99"/>
  <c r="D86"/>
  <c r="F98"/>
  <c r="D100"/>
  <c r="G92"/>
  <c r="G83"/>
  <c r="G81"/>
  <c r="G65"/>
  <c r="G63"/>
  <c r="G59"/>
  <c r="G57"/>
  <c r="G56"/>
  <c r="G50"/>
  <c r="G49"/>
  <c r="G44"/>
  <c r="G37"/>
  <c r="G17"/>
  <c r="G15"/>
  <c r="G16"/>
  <c r="G7"/>
  <c r="G8"/>
  <c r="D87" i="9"/>
  <c r="B87"/>
  <c r="F87"/>
  <c r="F81"/>
  <c r="D81"/>
  <c r="B81"/>
  <c r="F53"/>
  <c r="D53"/>
  <c r="B53"/>
  <c r="D47"/>
  <c r="F47"/>
  <c r="B47"/>
  <c r="F42"/>
  <c r="D42"/>
  <c r="B42"/>
  <c r="F39"/>
  <c r="B39"/>
  <c r="D35"/>
  <c r="B35"/>
  <c r="F21"/>
  <c r="D21"/>
  <c r="B21"/>
  <c r="B89" s="1"/>
  <c r="B18"/>
  <c r="F13"/>
  <c r="F9"/>
  <c r="D9"/>
  <c r="D88" s="1"/>
  <c r="B9"/>
  <c r="G85"/>
  <c r="H85" s="1"/>
  <c r="G79"/>
  <c r="H79" s="1"/>
  <c r="G78"/>
  <c r="H78" s="1"/>
  <c r="G76"/>
  <c r="H76" s="1"/>
  <c r="G73"/>
  <c r="H73" s="1"/>
  <c r="G58"/>
  <c r="H58" s="1"/>
  <c r="G57"/>
  <c r="H57" s="1"/>
  <c r="G56"/>
  <c r="H56" s="1"/>
  <c r="G51"/>
  <c r="G50"/>
  <c r="G34"/>
  <c r="H34" s="1"/>
  <c r="G26"/>
  <c r="H26" s="1"/>
  <c r="G25"/>
  <c r="H25" s="1"/>
  <c r="G24"/>
  <c r="H24" s="1"/>
  <c r="G30"/>
  <c r="H30" s="1"/>
  <c r="G17"/>
  <c r="H17" s="1"/>
  <c r="G8"/>
  <c r="H8" s="1"/>
  <c r="G7"/>
  <c r="H7" s="1"/>
  <c r="B27" i="10"/>
  <c r="B28" s="1"/>
  <c r="F26"/>
  <c r="D26"/>
  <c r="B26"/>
  <c r="G25"/>
  <c r="F25"/>
  <c r="D25"/>
  <c r="B25"/>
  <c r="F22"/>
  <c r="D22"/>
  <c r="F28"/>
  <c r="D15"/>
  <c r="D27" s="1"/>
  <c r="D28" s="1"/>
  <c r="G21"/>
  <c r="G20"/>
  <c r="G19"/>
  <c r="G13"/>
  <c r="G11"/>
  <c r="B120" i="11"/>
  <c r="B121" s="1"/>
  <c r="F120"/>
  <c r="F121" s="1"/>
  <c r="D120"/>
  <c r="F119"/>
  <c r="D119"/>
  <c r="B114"/>
  <c r="F114"/>
  <c r="F105"/>
  <c r="B105"/>
  <c r="G85"/>
  <c r="F85"/>
  <c r="D85"/>
  <c r="G81"/>
  <c r="F81"/>
  <c r="D81"/>
  <c r="G75"/>
  <c r="F75"/>
  <c r="D75"/>
  <c r="F72"/>
  <c r="F61"/>
  <c r="F51"/>
  <c r="F42"/>
  <c r="B42"/>
  <c r="G116"/>
  <c r="G101"/>
  <c r="G100"/>
  <c r="G96"/>
  <c r="G95"/>
  <c r="G92"/>
  <c r="G91"/>
  <c r="G90"/>
  <c r="G89"/>
  <c r="G88"/>
  <c r="G84"/>
  <c r="G80"/>
  <c r="G79"/>
  <c r="G78"/>
  <c r="G77"/>
  <c r="G74"/>
  <c r="G70"/>
  <c r="G69"/>
  <c r="G68"/>
  <c r="G67"/>
  <c r="G66"/>
  <c r="G65"/>
  <c r="G59"/>
  <c r="G57"/>
  <c r="G50"/>
  <c r="G49"/>
  <c r="G47"/>
  <c r="G45"/>
  <c r="G44"/>
  <c r="G41"/>
  <c r="G40"/>
  <c r="G39"/>
  <c r="G38"/>
  <c r="G37"/>
  <c r="G35"/>
  <c r="G34"/>
  <c r="G32"/>
  <c r="F27"/>
  <c r="F21"/>
  <c r="D21"/>
  <c r="G20"/>
  <c r="G19"/>
  <c r="G14"/>
  <c r="G13"/>
  <c r="G10"/>
  <c r="G9"/>
  <c r="D20" i="13"/>
  <c r="D19"/>
  <c r="F18"/>
  <c r="D18"/>
  <c r="F17"/>
  <c r="F20" s="1"/>
  <c r="D17"/>
  <c r="F14"/>
  <c r="D14"/>
  <c r="D10"/>
  <c r="G13"/>
  <c r="G8"/>
  <c r="G27" i="8"/>
  <c r="G86" i="9"/>
  <c r="H86" s="1"/>
  <c r="G41"/>
  <c r="G42" s="1"/>
  <c r="G20"/>
  <c r="G21" s="1"/>
  <c r="G23"/>
  <c r="F18"/>
  <c r="G51" i="8"/>
  <c r="G24"/>
  <c r="G24" i="10"/>
  <c r="G71" i="8"/>
  <c r="G25"/>
  <c r="F20"/>
  <c r="G56" i="11"/>
  <c r="G55"/>
  <c r="G12" i="7"/>
  <c r="G12" i="9"/>
  <c r="H12" s="1"/>
  <c r="G26" i="11"/>
  <c r="G25"/>
  <c r="G36"/>
  <c r="G16"/>
  <c r="G15"/>
  <c r="G12"/>
  <c r="G24"/>
  <c r="G23"/>
  <c r="G8"/>
  <c r="G7"/>
  <c r="G33"/>
  <c r="G84" i="9"/>
  <c r="H84" s="1"/>
  <c r="G15"/>
  <c r="H15" s="1"/>
  <c r="G16"/>
  <c r="H16" s="1"/>
  <c r="G9" i="10"/>
  <c r="G8"/>
  <c r="G71" i="11"/>
  <c r="G60"/>
  <c r="G96" i="8"/>
  <c r="G95"/>
  <c r="G34"/>
  <c r="G12" i="10"/>
  <c r="G10" i="6"/>
  <c r="G33" i="8"/>
  <c r="G29"/>
  <c r="G28"/>
  <c r="G26"/>
  <c r="G21" i="7"/>
  <c r="G46" i="11"/>
  <c r="G113"/>
  <c r="G112"/>
  <c r="G111"/>
  <c r="G110"/>
  <c r="G36" i="7"/>
  <c r="G52" i="9"/>
  <c r="H52" s="1"/>
  <c r="G98" i="11"/>
  <c r="G38" i="9"/>
  <c r="H38" s="1"/>
  <c r="G23" i="5"/>
  <c r="G83" i="9"/>
  <c r="G87" s="1"/>
  <c r="G80"/>
  <c r="H80" s="1"/>
  <c r="G8" i="5"/>
  <c r="G36"/>
  <c r="G54" i="11"/>
  <c r="G28" i="5"/>
  <c r="G27"/>
  <c r="G26"/>
  <c r="G63" i="9"/>
  <c r="H63" s="1"/>
  <c r="G60"/>
  <c r="H60" s="1"/>
  <c r="G59"/>
  <c r="H59" s="1"/>
  <c r="G29" i="5"/>
  <c r="G90" i="8"/>
  <c r="G28" i="9"/>
  <c r="H28" s="1"/>
  <c r="G27"/>
  <c r="H27" s="1"/>
  <c r="G55"/>
  <c r="H55" s="1"/>
  <c r="G31"/>
  <c r="H31" s="1"/>
  <c r="G16" i="13"/>
  <c r="G36" i="8"/>
  <c r="G42"/>
  <c r="G41"/>
  <c r="G40"/>
  <c r="G14" i="10"/>
  <c r="G46" i="8"/>
  <c r="G45"/>
  <c r="G13" i="6"/>
  <c r="G9"/>
  <c r="G23" i="8"/>
  <c r="G10" i="10"/>
  <c r="G62" i="9"/>
  <c r="H62" s="1"/>
  <c r="G51" i="7"/>
  <c r="G42"/>
  <c r="G109" i="11"/>
  <c r="G108"/>
  <c r="G67" i="9"/>
  <c r="H67" s="1"/>
  <c r="G68"/>
  <c r="H68" s="1"/>
  <c r="G77"/>
  <c r="G72"/>
  <c r="G71"/>
  <c r="G61"/>
  <c r="G20" i="7"/>
  <c r="G12" i="8"/>
  <c r="G11"/>
  <c r="G12" i="4"/>
  <c r="G11"/>
  <c r="G37" i="9"/>
  <c r="G39" s="1"/>
  <c r="G58" i="11"/>
  <c r="G91" i="8"/>
  <c r="G20" i="1"/>
  <c r="G94" i="8"/>
  <c r="G93"/>
  <c r="G68"/>
  <c r="G48" i="11"/>
  <c r="G53"/>
  <c r="G35" i="7"/>
  <c r="G30"/>
  <c r="G26"/>
  <c r="G104" i="11"/>
  <c r="G103"/>
  <c r="G102"/>
  <c r="G117"/>
  <c r="G45" i="9"/>
  <c r="H45" s="1"/>
  <c r="G46"/>
  <c r="H46" s="1"/>
  <c r="G44"/>
  <c r="G47" s="1"/>
  <c r="G74"/>
  <c r="H74" s="1"/>
  <c r="G75"/>
  <c r="G66"/>
  <c r="G65"/>
  <c r="G64"/>
  <c r="G33" i="5"/>
  <c r="G34"/>
  <c r="B61" i="11"/>
  <c r="B9" i="14"/>
  <c r="B13" s="1"/>
  <c r="B17" i="11"/>
  <c r="B13" i="4"/>
  <c r="B23" i="6"/>
  <c r="B18" i="7"/>
  <c r="B13" i="9"/>
  <c r="B22" i="10"/>
  <c r="B85" i="11"/>
  <c r="B81"/>
  <c r="B75"/>
  <c r="B72"/>
  <c r="B51"/>
  <c r="B27"/>
  <c r="B21"/>
  <c r="I81" i="9" l="1"/>
  <c r="I16" i="15" s="1"/>
  <c r="H18" i="9"/>
  <c r="G35"/>
  <c r="H9"/>
  <c r="H50"/>
  <c r="B88"/>
  <c r="B90" s="1"/>
  <c r="F88"/>
  <c r="D89"/>
  <c r="D90" s="1"/>
  <c r="I9"/>
  <c r="I88" s="1"/>
  <c r="I13"/>
  <c r="I9" i="15" s="1"/>
  <c r="I18" i="9"/>
  <c r="I10" i="15" s="1"/>
  <c r="H81" i="9"/>
  <c r="I11" i="15"/>
  <c r="K90" i="9"/>
  <c r="I7" i="15"/>
  <c r="I17" s="1"/>
  <c r="I31" s="1"/>
  <c r="H35" i="9"/>
  <c r="H53"/>
  <c r="I89"/>
  <c r="H37"/>
  <c r="H39" s="1"/>
  <c r="H41"/>
  <c r="H42" s="1"/>
  <c r="H44"/>
  <c r="H47" s="1"/>
  <c r="H83"/>
  <c r="H87" s="1"/>
  <c r="G9"/>
  <c r="G18"/>
  <c r="G53"/>
  <c r="G81"/>
  <c r="C12" i="15"/>
  <c r="H17" i="11"/>
  <c r="H55" i="7"/>
  <c r="J55"/>
  <c r="I22"/>
  <c r="I99" i="8"/>
  <c r="J11" i="15"/>
  <c r="J17" s="1"/>
  <c r="J31" s="1"/>
  <c r="I27" i="10"/>
  <c r="I28" s="1"/>
  <c r="H9"/>
  <c r="H15" s="1"/>
  <c r="H27" s="1"/>
  <c r="H28" s="1"/>
  <c r="I23" i="6"/>
  <c r="I24" s="1"/>
  <c r="K11" i="15"/>
  <c r="K17" s="1"/>
  <c r="K31" s="1"/>
  <c r="H7" i="6"/>
  <c r="H11" s="1"/>
  <c r="H23" s="1"/>
  <c r="H24" s="1"/>
  <c r="I17" i="11"/>
  <c r="D7" i="15" s="1"/>
  <c r="I51" i="11"/>
  <c r="D11" i="15" s="1"/>
  <c r="H47" i="11"/>
  <c r="H51" s="1"/>
  <c r="K119"/>
  <c r="K121" s="1"/>
  <c r="I81"/>
  <c r="D13" i="15" s="1"/>
  <c r="C13" s="1"/>
  <c r="H80" i="11"/>
  <c r="H81" s="1"/>
  <c r="I13" i="8"/>
  <c r="J100"/>
  <c r="D10" i="15"/>
  <c r="C10" s="1"/>
  <c r="H37" i="11"/>
  <c r="H42" s="1"/>
  <c r="H17" i="1"/>
  <c r="H22" s="1"/>
  <c r="I17"/>
  <c r="I22" s="1"/>
  <c r="C6" i="15"/>
  <c r="C16"/>
  <c r="C15"/>
  <c r="C14"/>
  <c r="H86" i="8"/>
  <c r="H99" s="1"/>
  <c r="H100" s="1"/>
  <c r="G20" i="13"/>
  <c r="G9" i="14"/>
  <c r="D121" i="11"/>
  <c r="F100" i="8"/>
  <c r="B100"/>
  <c r="G11" i="9"/>
  <c r="F89"/>
  <c r="F90" s="1"/>
  <c r="G89" l="1"/>
  <c r="H89"/>
  <c r="H11"/>
  <c r="H13" s="1"/>
  <c r="H88" s="1"/>
  <c r="G13"/>
  <c r="G88" s="1"/>
  <c r="G90" s="1"/>
  <c r="I90"/>
  <c r="C7" i="15"/>
  <c r="D17"/>
  <c r="D31" s="1"/>
  <c r="M11"/>
  <c r="M17" s="1"/>
  <c r="M31" s="1"/>
  <c r="I53" i="7"/>
  <c r="I55" s="1"/>
  <c r="C11" i="15"/>
  <c r="I119" i="11"/>
  <c r="I121" s="1"/>
  <c r="H119"/>
  <c r="H121" s="1"/>
  <c r="F9" i="15"/>
  <c r="F17" s="1"/>
  <c r="F31" s="1"/>
  <c r="I98" i="8"/>
  <c r="I100" s="1"/>
  <c r="H90" i="9" l="1"/>
  <c r="C9" i="15"/>
  <c r="C17" s="1"/>
  <c r="C31" s="1"/>
  <c r="C47" s="1"/>
</calcChain>
</file>

<file path=xl/sharedStrings.xml><?xml version="1.0" encoding="utf-8"?>
<sst xmlns="http://schemas.openxmlformats.org/spreadsheetml/2006/main" count="1195" uniqueCount="451">
  <si>
    <t>เทศบาลตำบลหาดกรวด</t>
  </si>
  <si>
    <t>รายจ่ายในการดำเนินงานที่จ่ายจากเงินรายรับตามแผนงานบริหารงานทั่วไป</t>
  </si>
  <si>
    <t>ตั้งแต่วันที่ 1 ตุลาคม 2554 ถึงวันที่ 30 กันยายน 2555</t>
  </si>
  <si>
    <t>ประมาณการ</t>
  </si>
  <si>
    <t>โอนเพิ่ม</t>
  </si>
  <si>
    <t>โอนลด</t>
  </si>
  <si>
    <t>สุทธิ</t>
  </si>
  <si>
    <t>+ สูง - ต่ำกว่า</t>
  </si>
  <si>
    <t>รวมจ่ายจริง</t>
  </si>
  <si>
    <t>งาน</t>
  </si>
  <si>
    <t>บริหารทั่วไป</t>
  </si>
  <si>
    <t>บริหารงานคลัง</t>
  </si>
  <si>
    <t>รายการ</t>
  </si>
  <si>
    <t>-เงินเดือนพนักงาน</t>
  </si>
  <si>
    <t>-เงินเพิ่มต่าง ๆ</t>
  </si>
  <si>
    <t>ค่าจ้างชั่วคราว (จ่ายจากเงินรายได้)</t>
  </si>
  <si>
    <t>เงินเดือนพนักงาน (จ่ายจากเงินรายได้)</t>
  </si>
  <si>
    <t>-เงินเดือนหรือเงินที่จ่ายเพิ่มให้แก่พนักงานจ้าง</t>
  </si>
  <si>
    <t xml:space="preserve">-เงินเพิ่มต่างๆ </t>
  </si>
  <si>
    <t>ค่าตอบแทน (จ่ายจากเงินรายได้)</t>
  </si>
  <si>
    <t>-ค่ารักษาพยาบาล</t>
  </si>
  <si>
    <t>-การศึกษาบุตร</t>
  </si>
  <si>
    <t>บริหารทั่วไปฯ</t>
  </si>
  <si>
    <t>ไฟฟ้าและถนน</t>
  </si>
  <si>
    <t>-ค่าเช่าบ้าน</t>
  </si>
  <si>
    <t>ค่าตอบแทน (จ่ายจากเงินอุดหนุนทั่วไป)</t>
  </si>
  <si>
    <t>-ค่าตอบแทนการปฏิบัติงานนอกเวลา</t>
  </si>
  <si>
    <t>ค่าใช้สอย (จ่ายจากเงินอุดหนุนทั่วไป)</t>
  </si>
  <si>
    <t xml:space="preserve">-ค่ารับวารสาร ค่าจ้างเขียนแบบฯ </t>
  </si>
  <si>
    <t>-โครงการวางและจัดทำผังเมืองชุมชน</t>
  </si>
  <si>
    <t>-ค่าใช้จ่ายในการเดินทางไปราชการ ค่าลงทะเบียน ค่าฝึกอบรม</t>
  </si>
  <si>
    <t>-ซ่อมแซมถนนลูกรังภายในหมู่บ้าน ม.2</t>
  </si>
  <si>
    <t>-ซ่อมแซมถนนลูกรังภายในหมู่บ้าน ม.3</t>
  </si>
  <si>
    <t>-ซ่อมแซมถนนลูกรังภายในหมู่บ้าน ม.4</t>
  </si>
  <si>
    <t>-ซ่อมแซมถนนลูกรังภายในหมู่บ้าน ม.7</t>
  </si>
  <si>
    <t>-ซ่อมแซมถนนลูกรังภายในหมู่บ้าน ม.9</t>
  </si>
  <si>
    <t>-ซ่อมแซมทรัพย์สินของกิจการประปา</t>
  </si>
  <si>
    <t>ค่าวัสดุ (จ่ายจากเงินอุดหนุนทั่วไป)</t>
  </si>
  <si>
    <t>-ค่าวัสดุไฟฟ้าและวิทยุ</t>
  </si>
  <si>
    <t>กิจการประปา</t>
  </si>
  <si>
    <t>-ค่าวัสดุก่อสร้าง</t>
  </si>
  <si>
    <t>-ค่าวัสดุอื่นๆ</t>
  </si>
  <si>
    <t>ค่าใช้สอย (จ่ายจากเงินรายได้)</t>
  </si>
  <si>
    <t>-จ้างเหมาบริการ</t>
  </si>
  <si>
    <t>ค่าสาธารณูปโภค (จ่ายจากเงินอุดหนุนทั่วไป)</t>
  </si>
  <si>
    <t>-ค่าไฟฟ้า</t>
  </si>
  <si>
    <t>เงินอุดหนุน (จ่ายจากเงินรายได้)</t>
  </si>
  <si>
    <t>องค์การบริหารส่วนจังหวัดอุตรดิตถ์</t>
  </si>
  <si>
    <t>-ก่อสร้างประปาขนาดใหญ่มาก</t>
  </si>
  <si>
    <t>ค่าครุภัณฑ์ (จ่ายจากเงินอุดหนุนทั่วไป)</t>
  </si>
  <si>
    <t>ครุภัณฑ์สำรวจ</t>
  </si>
  <si>
    <t>1. ไม้สต๊าฟ อลูมิเนียม แบบชักขนาด 5 ม.  จำนวน 1 อัน</t>
  </si>
  <si>
    <t>2. เทปวัด เหล็กเคลือบไนลอน กว้าง 13 ม.ม. ยาว 50 ม. จำนวน 1 อัน</t>
  </si>
  <si>
    <t>ที่ดินและสิ่งก่อสร้าง (จ่ายจากเงินอุดหนุนทั่วไป)</t>
  </si>
  <si>
    <t>-วางท่อ คสล.บริเวณ ซ.ทรัพย์มงคล ม.1</t>
  </si>
  <si>
    <t>-วางท่อ คสล.ทางลง ซ.เกษตร ม.1</t>
  </si>
  <si>
    <t>-วางท่อ คสล. ข้าง ถ.อุตรดิตถ์-พิชัย ม.1</t>
  </si>
  <si>
    <t>-วางท่อ คสล.บริเวณนานางจิ๋ม ม.3</t>
  </si>
  <si>
    <t>-วางท่อ คสล.ข้ามคลองจระเข้ ม.3</t>
  </si>
  <si>
    <t>-วางท่อ คสล.ทางลงวัดวังหมู ม.4</t>
  </si>
  <si>
    <t>-วางท่อ คสล.ระบ้ายน้ำจากที่นาลงคลองจระเข้ ม.2-ม.6</t>
  </si>
  <si>
    <t>-วางท่อ คสล.ถนนท้ายบ้านผู้ใหญ่มาโนช ม.6</t>
  </si>
  <si>
    <t>-วางท่อ คสล.บริเวณบ้านนางเยือน ม.6</t>
  </si>
  <si>
    <t>-วางท่อ คสล. อ่างเก็บน้ำห้วยน้ำจาก ม.7</t>
  </si>
  <si>
    <t>-วางท่อ คสล.ข้างทางหลวงหมายเลข 11 ม.9</t>
  </si>
  <si>
    <t xml:space="preserve">-ซ่อมแซมผิวทางแคปซิล ตั้งแต่ ม.1-ม.2 </t>
  </si>
  <si>
    <t>-ขยายเขตระบบจำหน่ายไฟฟ้าสาธารณะและติดตั้งดวงโคมไฟ ม.3 ซ.1</t>
  </si>
  <si>
    <t>-ขยายเขตระบบจำหน่ายไฟฟ้าสาธารณะและติดตั้งดวงโคมไฟ ม.3 ซ.2</t>
  </si>
  <si>
    <t>-ก่อสร้างถนน คสล.ซ.8 วังหมู่ ม.4</t>
  </si>
  <si>
    <t>-ก่อสร้างถนน คสล.ซ.4 - ซ.5 บ้านท่า ม.5</t>
  </si>
  <si>
    <t>-ก่อสร้างถนน คสล.ซ.4 - ซ.3 บ้านท่า ม.5</t>
  </si>
  <si>
    <t>-ก่อสร้างถนน คสล.ซ.หนองแขม ม.6</t>
  </si>
  <si>
    <t>-ก่อสร้างถนน คสล.ซ.นครสวรรค์ ม.7</t>
  </si>
  <si>
    <t>-ก่อสร้างถนน คสล.ซ.6 ม.8 (ทางไปบ้าน ผช.รักเร่ แก้วนรินทร์)</t>
  </si>
  <si>
    <t>-ก่อสร้างถนน คสล.เชื่อมทางหลวงหน้า ทต.</t>
  </si>
  <si>
    <t>-วางท่อเมนจ่ายน้ำ PVC ม.4 จำนวน 213 ท่อน</t>
  </si>
  <si>
    <t>-วางท่อเมนจ่ายน้ำ PVC ม.5 จำนวน 110 ท่อน</t>
  </si>
  <si>
    <t>-วางท่อเมนจ่ายน้ำ PVC ม.6 จำนวน 215 ท่อน</t>
  </si>
  <si>
    <t>-วางท่อเมนจ่ายน้ำ PVC ม.8 จำนวน 250 ท่อน กลุ่มดงใน</t>
  </si>
  <si>
    <t>-วางท่อเมนจ่ายน้ำ PVC ม.8 จำนวน 65 ท่อน กลุ่มหนองยายจันทร์</t>
  </si>
  <si>
    <t>-วางท่อเมนจ่ายน้ำ PVC ม.8 จำนวน 50 ท่อน กลุ่มนางคิด</t>
  </si>
  <si>
    <t>-ปรับปรุงคุณภาพน้ำอุปโภค-บริโภค กลุ่มหนองยายจันทร์ ม.8</t>
  </si>
  <si>
    <t>-ขุดสระน้ำเพื่อการเกษตร ม.4 จำนวน 11 แห่ง</t>
  </si>
  <si>
    <t>-ขุดลอกหนองรี ม.4</t>
  </si>
  <si>
    <t>-ขุดสระน้ำเพื่อการเกษตร ม.8 จำนวน 1 แห่ง</t>
  </si>
  <si>
    <t xml:space="preserve">-ปรับปรุงถนนลงหินย่อย เบอร์2 ซ.8 ม.8 </t>
  </si>
  <si>
    <t>รวมรายจ่ายตามแผนงานการพาณิชย์ (จ่ายจากเงินรายได้)</t>
  </si>
  <si>
    <t xml:space="preserve">รวมรายจ่ายตามแผนงานการพาณิชย์ </t>
  </si>
  <si>
    <t>รวมรายจ่ายตามแผนงานการพาณิชย์ (จ่ายจากเงินเงินอุดหนุนทั่วไป)</t>
  </si>
  <si>
    <t>รวมรายจ่ายตามแผนงานเคหะและชุมชน (จ่ายจากเงินรายได้)</t>
  </si>
  <si>
    <t>รวมรายจ่ายตามแผนงานเคหะและชุมชน (จ่ายจากเงินเงินอุดหนุนทั่วไป)</t>
  </si>
  <si>
    <t xml:space="preserve">รวมรายจ่ายตามแผนงานเคหะและชุมชน </t>
  </si>
  <si>
    <t>บำบัดน้ำเสีย</t>
  </si>
  <si>
    <t>เงินเดือน (จ่ายจากเงินรายได้)</t>
  </si>
  <si>
    <t>สาธารณสุขอื่น</t>
  </si>
  <si>
    <t>-ค่าตอบแทนปฏิบัติงานนอกเวลาราชการ</t>
  </si>
  <si>
    <t>-ค่าจ้างเหมาบริการ</t>
  </si>
  <si>
    <t>-ค่ารับวารสาร</t>
  </si>
  <si>
    <t>-ค่ารับรอง</t>
  </si>
  <si>
    <t>-โครงการป้องกันและควบคุมโรคติดต่อ</t>
  </si>
  <si>
    <t>-โครงการหมู่บ้านจัดการขยะแบบประชาชนมีส่วนร่วม</t>
  </si>
  <si>
    <t>-โครงการส่งเสริมสุขภาพประชาชน ต.หาดกรวด</t>
  </si>
  <si>
    <t>-โครงการพัฒนาศักยภาพอาสาสมัครสาธารณสุข</t>
  </si>
  <si>
    <t>-ค่าใช้จ่ายในการเดินทางไปราชการ ค่าลงทะเบียนฝึกอบรมพนักงานฯ</t>
  </si>
  <si>
    <t xml:space="preserve">-วัสดุวิทยาศาสตร์หรือการแพทย์ </t>
  </si>
  <si>
    <t>ค่าวัสดุ (จ่ายจากเงินรายได้)</t>
  </si>
  <si>
    <t>-วัสดุน้ำมันเชื้อเพลิงและหล่อลื่น</t>
  </si>
  <si>
    <t>อุดหนุนสำนักงานสาธารณสุขอำเภอเมืองอุตรดิตถ์</t>
  </si>
  <si>
    <t>-โครงการแพทย์รักษาฟื้นฟูผู้ป่วยโรคไม่ติดต่อเชื้อเรื้อรังใกล้บ้าน สอ.หาดกรวด</t>
  </si>
  <si>
    <t>-โครงการผู้สูงวัย ใส่ในสุขภาพ สอ.บ้านท่า</t>
  </si>
  <si>
    <t>-โครงการช่วยเหลือผู้ป่วยโรคเอดส์และผู้ติดเชื้อ HIV อ.เมืองอุตรดิตถ์</t>
  </si>
  <si>
    <t>เงินอุดหนุน (ตั้งจ่ายจากเงินอุดหนุนทั่วไป)</t>
  </si>
  <si>
    <t>เงินอุดหนุน (ตั้งจ่ายจากเงินรายได้)</t>
  </si>
  <si>
    <t>-โครงการสาธารณสุขมูลฐาน สอ.หาดกรวด จำนวน 6 หมู่บ้าน</t>
  </si>
  <si>
    <t>-โครงการสาธารณสุขมูลฐาน สอ.บ้านท่า จำนวน 3 หมู่บ้าน</t>
  </si>
  <si>
    <t>รายจ่ายในการดำเนินงานที่จ่ายจากเงินรายรับตามแผนงานสาธารณสุข</t>
  </si>
  <si>
    <t>รวมรายจ่ายตามแผนงานสาธารณสุข (จ่ายจากเงินรายได้)</t>
  </si>
  <si>
    <t>รวมรายจ่ายตามแผนงานสาธารณสุข (จ่ายจากเงินอุดหนุนทั่วไป)</t>
  </si>
  <si>
    <t>รวมรายจ่ายตามแผนงานสาธารณสุข</t>
  </si>
  <si>
    <t>ประเภทรายจ่ายตามข้อผูกพัน</t>
  </si>
  <si>
    <t>งบกลาง</t>
  </si>
  <si>
    <t>จ่ายจากเงินรายได้</t>
  </si>
  <si>
    <t>-ค่าบำรุงสมาคมสันนิบาตเทศบาลแห่งประเทศไทย</t>
  </si>
  <si>
    <t>-เงินสมทบกองทุน ก.บ.ท.</t>
  </si>
  <si>
    <t>-เงินสมทบกองทุนประกันสังคม</t>
  </si>
  <si>
    <t>-เงินช่วยเหลือค่าครองชีพผู้รับบำเหน็จบำนาญ (ช.ค.บ.)</t>
  </si>
  <si>
    <t>-ทุนการศึกษา ระดับปริญญาตรี  4  ทุน</t>
  </si>
  <si>
    <t>-ทุนการศึกษา ระดับปริญญาโท  1  ทุน</t>
  </si>
  <si>
    <t>-เงินบำเหน็จลูกจ้างประจำ</t>
  </si>
  <si>
    <t>ประเภทเงินสำรองจ่าย</t>
  </si>
  <si>
    <t>กรณีไม่สามารถคาดการณ์ได้ล่วงหน้า หรือกรณีเกิดภัยพิบัติฉุกเฉิน</t>
  </si>
  <si>
    <t>จ่ายจากเงินอุดหนุนทั่วไป</t>
  </si>
  <si>
    <t>-เงินสมทบกองทุนหลักประกันสุขภาพระดับท้องถิ่นเทศบาลตำบลหาดกรวด</t>
  </si>
  <si>
    <t>รวมรายจ่ายงบกลาง</t>
  </si>
  <si>
    <t>รายจ่ายในการดำเนินงานที่จ่ายจากเงินรายรับตามแผนงานงบกลาง</t>
  </si>
  <si>
    <t>รายจ่ายในการดำเนินงานที่จ่ายจากเงินรายรับตามแผนงานการเกษตร</t>
  </si>
  <si>
    <t>งานส่งเสริมฯ</t>
  </si>
  <si>
    <t>งานอนุรักษ์ฯ</t>
  </si>
  <si>
    <t>-เงินเพิ่มต่างๆ</t>
  </si>
  <si>
    <t>หมวดค่าจ้างชั่วคราว (จ่ายจากเงินรายได้)</t>
  </si>
  <si>
    <t>-โครงการเกี่ยวกับการพัฒนาการเกษตรอย่างยั่งยืน ตามแนวพระราชดำริ ศก.พอเพียง</t>
  </si>
  <si>
    <t>-โครงการส่งเสริมสนับสนุนการปลูกพืชเศรษฐกิจ</t>
  </si>
  <si>
    <t>-โครงการส่งเสริมสนับสนุนการเลี้ยงสัตว์เศรษฐกิจ</t>
  </si>
  <si>
    <t>-โครงการส่งเสริมสนับสนุนการประมง</t>
  </si>
  <si>
    <t>-โครงการพัฒนาการส่งเสริมการทำเกษตรปลอดสารและโครงการเกษตรอินทรีย์</t>
  </si>
  <si>
    <t>-โครงการท้องถิ่นไทยรวมใจภักดิ์ รักษ์พื้นที่สีเขียว เฉลิมพระเกียรติฯ</t>
  </si>
  <si>
    <t xml:space="preserve">-ค่าใช้จ่ายในการเดินทางไปราชการ ค่าลงทะเบียนฝึกอบรมฯ </t>
  </si>
  <si>
    <t>-วัสดุคอมพิวเตอร์</t>
  </si>
  <si>
    <t>-เครื่องตัดหญ้า แบบข้ออ่อน จำนวน 2 เครื่อง</t>
  </si>
  <si>
    <t>-โครงการปรับปรุงลานตากข้าว คลส.หมู่ที่ 1</t>
  </si>
  <si>
    <t>รวมรายจ่ายตามแผนงานการเกษตร</t>
  </si>
  <si>
    <t>รวมรายจ่ายตามแผนงานการเกษตร (จ่ายจากรายได้)</t>
  </si>
  <si>
    <t>รวมรายจ่ายตามแผนงานการเกษตร (จ่ายจากเงินอุดหนุนทั่วไป)</t>
  </si>
  <si>
    <t>-เงินเดือนพนักงาน      (ปลัด)</t>
  </si>
  <si>
    <t>-เงินเพิ่มต่างๆ            (ปลัด)</t>
  </si>
  <si>
    <t>-เงินเดือนพนักงาน      (คลัง)</t>
  </si>
  <si>
    <t>-เงินเพิ่มต่างๆ            (คลัง)</t>
  </si>
  <si>
    <t>เงินเดือนฝ่ายบริหาร (จ่ายจากเงินรายได้)</t>
  </si>
  <si>
    <t>-เงินเดือนนายก/รองนายก</t>
  </si>
  <si>
    <t>-ค่าตอบแทนประจำตำแหน่ง นายก/รองนายก</t>
  </si>
  <si>
    <t>-ค่าตอบแทนพิเศษ นายก/รองนายก</t>
  </si>
  <si>
    <t>-เงินเดือน/ค่าตอบแทนเลขานุการและที่ปรึกษา</t>
  </si>
  <si>
    <t>-ค่าตอบแทนประธานสภา รองฯ และสมาชิกสภาเทศบาล</t>
  </si>
  <si>
    <t>ค่าจ้างประจำ  (จ่ายจากเงินรายได้)</t>
  </si>
  <si>
    <t>-ค่าจ้างประจำ</t>
  </si>
  <si>
    <t xml:space="preserve">-เงินเพิ่มต่าง ๆ </t>
  </si>
  <si>
    <t>ค่าจ้างชั่วคราว  (จ่ายจากเงินรายได้)</t>
  </si>
  <si>
    <t>-เงินเดือนหรือเงินจ่ายเพิ่มให้แก่พนักงานจ้าง   (ปลัด)</t>
  </si>
  <si>
    <t>-เงินเพิ่มต่างๆ                                        (ปลัด)</t>
  </si>
  <si>
    <t>-เงินเดือนหรือเงินจ่ายเพิ่มให้แก่พนักงานจ้าง   (คลัง)</t>
  </si>
  <si>
    <t>-เงินเพิ่มต่างๆ                                        (คลัง)</t>
  </si>
  <si>
    <t>-ค่าเบี้ยประชุม                                         (ปลัด)</t>
  </si>
  <si>
    <t>-เงินประโยชน์ตอบแทนอื่น                           (ปลัด)</t>
  </si>
  <si>
    <t>-ค่าตอบแทนปฏิบัติงานนอกเวลา                    (ปลัด)</t>
  </si>
  <si>
    <t>-การศึกษาบุตร                                          (ปลัด)</t>
  </si>
  <si>
    <t>-ค่ารักษาพยาบาล                                       (ปลัด)</t>
  </si>
  <si>
    <t>-ค่าเช่าบ้าน                                               (ปลัด)</t>
  </si>
  <si>
    <t>-ค่าตอบแทนปฏิบัติราชการอันเป็นประโยชน์แก่ อปท. (ปลัด)</t>
  </si>
  <si>
    <t>-ค่าตอบแทนปฏิบัติราชการอันเป็นประโยชน์แก่ อปท. (คลัง)</t>
  </si>
  <si>
    <t>-ค่ารักษาพยาบาล                                       (คลัง)</t>
  </si>
  <si>
    <t>-ค่าเช่าบ้าน                                               (คลัง)</t>
  </si>
  <si>
    <t>-ค่าจ้างเหมาบริการ                       (ปลัด)</t>
  </si>
  <si>
    <t>-ค่าเช่าเครื่องถ่ายเอกสาร                (ปลัด)</t>
  </si>
  <si>
    <t>-ค่าเช่าเครื่องพิมพ์เอกสาร               (คลัง)</t>
  </si>
  <si>
    <t>-โครงการแผนที่ภาษี                      (คลัง)</t>
  </si>
  <si>
    <t>-ค่าจ้างเหมาบริการ                       (คลัง)</t>
  </si>
  <si>
    <t>-ค่ารับวารสาร ค่าธรรมเนียมต่าง ๆ    (คลัง)</t>
  </si>
  <si>
    <t>ค่าใช้สอย  (จ่ายจากเงินอุดหนุนทั่วไป)</t>
  </si>
  <si>
    <t>-ค่ารับวารสาร ฯลฯ                                                               (ปลัด)</t>
  </si>
  <si>
    <t>-ค่ารับรอง                                                                          (ปลัด)</t>
  </si>
  <si>
    <t>-ค่าเลี้ยงรับรอง                                                                    (ปลัด)</t>
  </si>
  <si>
    <t>-ค่าใช้จ่ายในการจัดงานวันเฉลิมพระชนพรรษา                              (ปลัด)</t>
  </si>
  <si>
    <t>-โครงการพัฒนาการเมืองการปกครองระบอบประชาธิปไตร               (ปลัด)</t>
  </si>
  <si>
    <t>-ค่าใช้จ่ายในการเดินทางไปราชการ อบรม การเลือกตั้งซ่อม สท. ฯลฯ   (ปลัด)</t>
  </si>
  <si>
    <t>-ค่าใช้จ่ายในการเดินทางไปราชการ อบรม ค่าลงทะเบียนฝึกอบรม       (คลัง)</t>
  </si>
  <si>
    <t>ค่าวัสดุ  (จ่ายจากเงินอุดหนุนทั่วไป)</t>
  </si>
  <si>
    <t>-วัสดุงานบ้านงานครัว                                                 (ปลัด)</t>
  </si>
  <si>
    <t>-วัสดุยานพาหนะและขนส่ง                                           (ปลัด)</t>
  </si>
  <si>
    <t>-วัสดุเครื่องดับเพลิง                                                    (ปลัด)</t>
  </si>
  <si>
    <t>-วัสดุคอมพิวเตอร์                                                       (ปลัด)</t>
  </si>
  <si>
    <t>-วัสดุคอมพิวเตอร์ ปรับปรุงระบบคอมพิวเตอร์เทศบาล            (ปลัด)</t>
  </si>
  <si>
    <t>-วัสดุคอมพิวเตอร์                                                        (คลัง)</t>
  </si>
  <si>
    <t>-วัสดุสำนักงาน                                                           (คลัง)</t>
  </si>
  <si>
    <t>ค่าวัสดุ  (จ่ายจากเงินรายได้)</t>
  </si>
  <si>
    <t>-วัสดุเชื้อเพลิงและหล่อลื่น                                             (ปลัด)</t>
  </si>
  <si>
    <t>ค่าสาธารณูปโภค   (จ่ายจากเงินรายได้)</t>
  </si>
  <si>
    <t>-ค่าโทรศัพท์</t>
  </si>
  <si>
    <t>-ค่าบริการโทรคมนาคม</t>
  </si>
  <si>
    <t>-ค่าไฟฟ้าสำนักงาน                                                     (ปลัด)</t>
  </si>
  <si>
    <t>-ค่าโทรศัพท์สำนักงาน                                                 (ปลัด)</t>
  </si>
  <si>
    <t>-ค่าบริการโทรคมนาคม                                                (ปลัด)</t>
  </si>
  <si>
    <t>-ค่าไปรษณีย์                                                             (คลัง)</t>
  </si>
  <si>
    <t>เงินอุดหนุน  (จ่ายจากเงินรายได้)</t>
  </si>
  <si>
    <t>อุดหนุนหน่วยงานของรัฐหรือองค์กรเอกชน</t>
  </si>
  <si>
    <t>-เทศบาลตำบลวังกะพี้   โครงการจัดตั้งศูนย์ข้อมูลข่าวสารจัดซื้อจัดจ้างระดับอำเภอฯ</t>
  </si>
  <si>
    <t>ค่าครุภัณฑ์  (จ่ายจากเงินอุดหนุนทั่วไป)</t>
  </si>
  <si>
    <t>-โต๊ะหมู่บูชา 1  ชุด</t>
  </si>
  <si>
    <t>-ป้ายแสตนเลสหน้าห้องประชุม 1 ชุด</t>
  </si>
  <si>
    <t>ครุภัณฑ์สำนักงาน</t>
  </si>
  <si>
    <t>ครุภัณฑ์ไฟฟ้าและวิทยุ</t>
  </si>
  <si>
    <t>-เครื่องรับสัญญาณระบบกระจายเสียงไร้สาย 2 ชุด  ม.3, ม.4</t>
  </si>
  <si>
    <t>-ยูนิตฮอน  4  ตัว</t>
  </si>
  <si>
    <t>ที่ดินและสิ่งก่อสร้าง  (จ่ายจากเงินอุดหนุนทั่วไป)</t>
  </si>
  <si>
    <t>-ป้ายเฉลิมพระเกียรติ 9 แห่ง</t>
  </si>
  <si>
    <t>รวมรายจ่ายตามแผนงานบริหารงานทั่วไป</t>
  </si>
  <si>
    <t>รวมรายจ่ายตามแผนงานบริหารงานทั่วไป(จ่ายจากเงินรายได้)</t>
  </si>
  <si>
    <t>รวมรายจ่ายตามแผนงานบริหารงานทั่วไป(จ่ายจากเงินอุดหนุนทั่วไป)</t>
  </si>
  <si>
    <t>รายจ่ายในการดำเนินงานที่จ่ายจากเงินรายรับตามแผนงานการรักษาความสงบภายใน</t>
  </si>
  <si>
    <t>งานป้องกันฯ</t>
  </si>
  <si>
    <t>-โครงการป้องกันและแก้ไขปัญหาจราจร</t>
  </si>
  <si>
    <t>-โครงการกิจกรรมและป้องกันบรรเทาสาธารณภัย</t>
  </si>
  <si>
    <t>ที่ทำการปกครองอำเภอเมืองอุตรดิตถ์</t>
  </si>
  <si>
    <t>-โครงการช่วยเหลือราษฎรขาดแคลนน้ำอุปโภคบริโภค</t>
  </si>
  <si>
    <t>รายจ่ายในการดำเนินงานที่จ่ายจากเงินรายรับตามแผนงานสังคมสงเคราะห์</t>
  </si>
  <si>
    <t>งานสวัสดิการฯ</t>
  </si>
  <si>
    <t>-โครงการบ้านท้องถิ่นไทยเทิดไท้องค์ราชัน</t>
  </si>
  <si>
    <t>รายจ่ายในการดำเนินงานที่จ่ายจากเงินรายรับตามแผนงานสร้างความเข้มแข็งของชุมชน</t>
  </si>
  <si>
    <t>-โครงการประชุมสัญจร ประชาคมหมู่บ้านและตำบล</t>
  </si>
  <si>
    <t>-โครงการป้องกันและแก้ไขปัญหายาเสพติด</t>
  </si>
  <si>
    <t>-โครงการฝึกอบรมพัฒนาบุคลากร</t>
  </si>
  <si>
    <t>-โครงการปรับปรุงซ่อมแซมหอกระจายข่าวหมู่บ้าน ม.2</t>
  </si>
  <si>
    <t>-โครงการแก้ไขปัญหาความยากจน</t>
  </si>
  <si>
    <t>-โครงการแก้ไขปัญหายาเสพติดและจัดระบียบสังคม</t>
  </si>
  <si>
    <t>-โครงการฝึกอบรมและพัฒนาลูกเสือชาวบ้าน</t>
  </si>
  <si>
    <t>ระดับก่อนวัยฯ</t>
  </si>
  <si>
    <t>ไม่กำหนดระดับ</t>
  </si>
  <si>
    <t>เงินเดือน  (จ่ายจากเงินรายได้)</t>
  </si>
  <si>
    <t>ค่าตอบแทน  (จ่ายจากเงินรายได้)</t>
  </si>
  <si>
    <t>-ค่าตอบแทนผู้ที่ปฏิบัติหน้าที่จัดเก็บข้อมูล จปฐ. ข้อมูล กชช.2 ค. ฯลฯ</t>
  </si>
  <si>
    <t>ค่าใช้สอย  (จ่ายจากเงินรายได้)</t>
  </si>
  <si>
    <t>-ค่ารับเอกสาร วารสาร ฯลฯ</t>
  </si>
  <si>
    <t>-ค่าจ้างเหมารถรับ-ส่ง นักเรียน ศพด. 2 ศูนย์</t>
  </si>
  <si>
    <t>งานกีฬาฯ</t>
  </si>
  <si>
    <t>งานศาสนาฯ</t>
  </si>
  <si>
    <t>-โครงการส่งเสริมงานศาสนา ประเพณี และวัฒนธรรมท้องถิ่น</t>
  </si>
  <si>
    <t>-โครงการส่งเสริมการจัดกิจกรรมเด็กและเยาวชน</t>
  </si>
  <si>
    <t>-โครงการประชุมผู้ปกครองและปฐมนิเทศนักเรียน</t>
  </si>
  <si>
    <t>-โครงการส่งเสริมกิจกรรมวันสำคัญประจำ ศพด. เช่น  วันแม่ วันไหว้ครู</t>
  </si>
  <si>
    <t>-โครงการแข่งขันกีฬาใน ศพด. 2 ศูนย์</t>
  </si>
  <si>
    <t>-โครงการมุมสร้างสรรค์สู่การเรียนรู้เพื่อหนูน้อย</t>
  </si>
  <si>
    <t>-โครงการจัดการแข่งขันกีฬาพื้นฐานและกีฬาเพื่อมวลชน</t>
  </si>
  <si>
    <t>-โครงการแข่งขันกีฬาเพื่อความเป็นเลิศและกีฬาเพื่อการอาชีพ</t>
  </si>
  <si>
    <t>-โครงการจ้างนักเรียน นักศึกษาทำงานช่วงปิดภาคเรียน</t>
  </si>
  <si>
    <t>-โครงการศูนย์การเรียนรู้ภูมปัญญาท้องถิ่นประจำ ศพด.</t>
  </si>
  <si>
    <t>-โครงการส่งเสริมกิจกรรมชุมชนสตรี หมู่บ้าน/ตำบล</t>
  </si>
  <si>
    <t>-โครงการส่งเสริมกิจกรรมชมรม/กลุ่มผู้สูงอายุ คนพิการ ผู้ป่วยเอดส์</t>
  </si>
  <si>
    <t>-โครงการส่งเสริมและฝึกอาชีพของกลุ่มอาชีพ/กลุ่มวิสาหกิจชุมชน หมู่ที่ 1-9</t>
  </si>
  <si>
    <t>-ค่าใช้จ่ายในการเดินทางไปราชการ ค่าลงทะเบียนฝึกอบรมของพนักงานฯลฯ</t>
  </si>
  <si>
    <t>ค่าใช้จ่ายในการบริหารสถานศึกษา</t>
  </si>
  <si>
    <t>-ศูนย์พัฒนาเด็กเล็กบ้านวังหมู</t>
  </si>
  <si>
    <t>-ศูนย์พัฒนาเด็กเล็กเทศบาลตำบลหาดกรวด</t>
  </si>
  <si>
    <t>-ค่าวัสดุสำนักงาน</t>
  </si>
  <si>
    <t>-วัสดุกีฬา</t>
  </si>
  <si>
    <t>-ค่าวัสดุงานบ้านงานครัว</t>
  </si>
  <si>
    <t>-ค่าวัสดุคอมพิวเตอร์</t>
  </si>
  <si>
    <t xml:space="preserve">ค่าวัสดุอื่นๆ </t>
  </si>
  <si>
    <t>-ค่าหนังสือพิมพ์รายวัน</t>
  </si>
  <si>
    <t>-ค่าอาหารเสริม(นม) ศพด. 2 ศูนย์</t>
  </si>
  <si>
    <t>-ค่าอาหารเสริม(นม) นักเรียนโรงเรียนประถมศึกษา 5 แห่ง</t>
  </si>
  <si>
    <t>ค่าสาธารณูปโภค  (จ่ายจากเงินรายได้)</t>
  </si>
  <si>
    <t>-โครงการจัดงานเทศกาลลางสาดหวานและมหกรรมของดีเมืองอุตรดิตถ์</t>
  </si>
  <si>
    <t>-โครงการงานพระยาพิชัยดาบหักและงานกาชาดจังหวัดอุตรดิตถ์</t>
  </si>
  <si>
    <t>อุดหนุนโรงเรียนในเขตพื้นที่เทศบาลตำบลหาดกรวด</t>
  </si>
  <si>
    <t>โรงเรียนทับใหม่</t>
  </si>
  <si>
    <t>-โครงการจัดกิจกรรมลูกเสือ-ยุวกาชาด ช่วงชั้นที่ 3</t>
  </si>
  <si>
    <t>-โครงการส่งเสริมและสนับสนุนสถานศึกษามีแหล่งเรียนรู้และภูมิปัญญาฯ</t>
  </si>
  <si>
    <t>-โครงการดนตรีไทย</t>
  </si>
  <si>
    <t>โรงเรียนบ้านซ่าน</t>
  </si>
  <si>
    <t>-โครงการพัฒนาผู้เรียน</t>
  </si>
  <si>
    <t>โรงเรียนไผ่ใหญ่</t>
  </si>
  <si>
    <t>-โครงการอนุรักษ์ดนตรีไทย</t>
  </si>
  <si>
    <t>โรงเรียนทุ่งกะโล่ห์วิทยา</t>
  </si>
  <si>
    <t>-โครงการพัฒนาการเรียนการสอน ช่างก่อสร้าง(ช่างปูน)</t>
  </si>
  <si>
    <t>เหล่ากาชาดจังหวัดอุตรดิตถ์</t>
  </si>
  <si>
    <t>-โครงการบรรเทาทุกข์และช่วยเหลือผู้ประสบภัย และผู้ด้อยโอกาสฯ</t>
  </si>
  <si>
    <t>เงินอุดหนุน (จ่ายจากเงินอุดหนุนทั่วไป)</t>
  </si>
  <si>
    <t>-อุดหนุนอาหารกลางวัน โรงเรียนประถมศึกษา 5 แห่ง</t>
  </si>
  <si>
    <t>-ครุภัณฑ์สำนักงาน</t>
  </si>
  <si>
    <t xml:space="preserve">2. โต๊ะทำงานเหล็ก 5.00 ฟุต พร้อมกระจก  จำนวน 1 ตัว </t>
  </si>
  <si>
    <t>1. โต๊ะทำงานเหล็ก 3.5 ฟุต พร้อมเก้าอื้บุนวมมีล้อเลื่อน  จำนวน 3 ตัว</t>
  </si>
  <si>
    <t>4. โต๊ะกลางพร้อมกระจก  จำนวน 1 ชุด</t>
  </si>
  <si>
    <t>6. เก้าอี้บุนวม ขาชุปโครเมี่ยม  จำนวน 3 ตัว</t>
  </si>
  <si>
    <t>7. เก้าอี้บุนวมมีล้อเลื่อน จำนวน 1 ตัว</t>
  </si>
  <si>
    <t>8. เก้าอื้ยาวสี่เหลี่ยม  จำนวน 1 ตัว</t>
  </si>
  <si>
    <t>9. เก้าอื้บุนวม มีล้อเลื่อนพนักพิงสูง จำนวน 1 ตัว</t>
  </si>
  <si>
    <t>1. โต๊ะนักเรียนพร้อมเก้าอื้ ศพด. จำนวน 1 ชุด</t>
  </si>
  <si>
    <t>-ครุภัณฑ์งานบ้านงานครัว</t>
  </si>
  <si>
    <t>1. ตู้กับข้าว ขนาด 4 ฟุต จำนวน 1 หลัง</t>
  </si>
  <si>
    <t>2. อ่างแสตนเลสพร้อมขาตั้งมีก๊อกน้ำ จำนวน 1 ใบ</t>
  </si>
  <si>
    <t>-โครงการก่อสร้างห้องน้ำ ห้องส้วมพร้อมที่ล้างหน้า แปรงฟัน</t>
  </si>
  <si>
    <t>-โครงการต่อเติมหลังคาด้านหน้า ศพด.</t>
  </si>
  <si>
    <t>-โครงการปรับปรุงศูนย์คอมพิวเตอร์</t>
  </si>
  <si>
    <t>-โครงการปรับปรุงภูมิทัศน์บริเวณ ศพด.</t>
  </si>
  <si>
    <t>รวมรายจ่ายตามแผนงานการศึกษา (จ่ายจากเงินรายได้)</t>
  </si>
  <si>
    <t>รวมรายจ่ายตามแผนงานการศึกษา (จ่ายจากเงินอุดหนุนทั่วไป)</t>
  </si>
  <si>
    <t>รวมรายจ่ายตามแผนงานการศึกษา</t>
  </si>
  <si>
    <t>รวมรายจ่ายตามแผนงานสังคมสงเคราะห์ (จ่ายจากเงินรายได้)</t>
  </si>
  <si>
    <t>รวมรายจ่ายตามแผนงานสังคมสงเคราะห์ (จ่ายจากเงินอุดหนุนทั่วไป)</t>
  </si>
  <si>
    <t>รวมรายจ่ายตามแผนงานสังคมสงเคราะห์</t>
  </si>
  <si>
    <t>รวมรายจ่ายตามแผนงานการรักษาความสงบภายใน</t>
  </si>
  <si>
    <t>รวมรายจ่ายตามแผนงานการรักษาความสงบภายใน (จ่ายจากเงินรายได้)</t>
  </si>
  <si>
    <t>รวมรายจ่ายตามแผนงานการรักษาความสงบภายใน (จ่ายจากเงินอุดหนุนทั่วไป)</t>
  </si>
  <si>
    <t>รวมรายจ่ายตามแผนงานสร้างความเข้มแข็งของชุมชน (จ่ายจากเงินรายได้)</t>
  </si>
  <si>
    <t>รวมรายจ่ายตามแผนงานสร้างความเข้มแข็งของชุมชน (จ่ายจากเงินอุดหนุนทั่วไป)</t>
  </si>
  <si>
    <t>รวมรายจ่ายตามแผนงานสร้างความเข้มแข็งของชุมชน</t>
  </si>
  <si>
    <t>รายจ่ายในการดำเนินงานที่จ่ายจากเงินรายรับตามแผนงานศาสนาวัฒนธรรมและนันทนาการ</t>
  </si>
  <si>
    <t>รวมรายจ่ายตามแผนงานศาสนาวัฒนธรรมและนันทนาการ (จ่ายจากเงินรายได้)</t>
  </si>
  <si>
    <t>รวมรายจ่ายตามแผนงานศาสนาวัฒนธรรมและนันทนาการ (จ่ายจากเงินอุดหนุนทั่วไป)</t>
  </si>
  <si>
    <t xml:space="preserve">รวมรายจ่ายตามแผนงานศาสนาวัฒนธรรมและนันทนาการ </t>
  </si>
  <si>
    <t>รายจ่ายในการดำเนินงานที่จ่ายจากเงินรายรับตามแผนงานการพาณิชย์</t>
  </si>
  <si>
    <t>รายจ่ายในการดำเนินงานที่จ่ายจากเงินรายรับตามแผนงานเคหะและชุมชน</t>
  </si>
  <si>
    <t>รายจ่ายในการดำเนินงานที่จ่ายจากเงินรายรับตามแผนงานการศึกษา</t>
  </si>
  <si>
    <t>โรงเรียนบ้านทับใหม่</t>
  </si>
  <si>
    <t>-รายจ่ายเพื่อบำรุงรักษาหรือซ่อมแซมทรัพย์สิน                               (คลัง)</t>
  </si>
  <si>
    <t>1</t>
  </si>
  <si>
    <t>-ขยายเขตจำหน่ายไฟฟ้าสาธารณะ ม.8 (ประปาหนองยายจันทร์)</t>
  </si>
  <si>
    <t>-ก่อสร้างศาลพระภูมิเจ้าที่พร้อมฐานจำนวน 1 ชุด ริมน้ำน่านสะพานท่าทอง ม.3</t>
  </si>
  <si>
    <t xml:space="preserve">-เครื่องรับสัญญาณระบบกระจายเสียงไร้สายหน้าวัดไผ่ใหญ่ ม.7 </t>
  </si>
  <si>
    <t>-เครื่องรับสัญญาณระบบกระจายเสียงไร้สายเขตติดต่อ ม.4 ม.5 หน้า สอ.บ้านท่า</t>
  </si>
  <si>
    <t>-จัดซื้อชุดเครื่องขยายเสียงพร้อมเครื่องรับติดตั้งรถยนต์ส่วนกลางเพื่อ ปชช.</t>
  </si>
  <si>
    <t>-โต๊ะทำงานขนาด 3.5 ฟุต จำนวน 1 ชุด</t>
  </si>
  <si>
    <t>-ซ่อมแซมแพสูบน้ำด้วยไฟฟ้า ม.1 บ้านทับใหม่</t>
  </si>
  <si>
    <t>ค่าครุภัณฑ์  (จ่ายจากเงินรายได้)</t>
  </si>
  <si>
    <t>-ก่อสร้างศาลพระภูมิและฐานพระพุทธรูปพร้อมลานคอนกรีต ศพด.</t>
  </si>
  <si>
    <t>-เงินสงเคราะห์เบี้ยยังชีพผู้ป่วยโรคเอดส์</t>
  </si>
  <si>
    <t>-ก่อสร้างโครงเหล็กเพื่อกันแดดสนามเด็กเล่น ศพด.บ้านวังหมู</t>
  </si>
  <si>
    <t>2</t>
  </si>
  <si>
    <t>-ค่าวัสดุในการดำเนินงานของสถานีสูบน้ำด้วยไฟฟ้าบ้านซ่าน</t>
  </si>
  <si>
    <t>-วางท่อ คสล. ซ.บุ่งป่าตาล ม.2</t>
  </si>
  <si>
    <t>-ก่อสร้างอาคารอาสาสมัครป้องกันภัยฝ่ายพลเรือนพร้อมโรงจอดรถ</t>
  </si>
  <si>
    <t>3</t>
  </si>
  <si>
    <t>1,3</t>
  </si>
  <si>
    <t>1,2,3</t>
  </si>
  <si>
    <t>-ก่อสร้างถนน คสล.สาย ม.4-ม.8</t>
  </si>
  <si>
    <t>-ว่างท่อ คสล.สาย ม.4-ม.8</t>
  </si>
  <si>
    <t>-ก่อสร้างถนน คสล.สายป่าแดง ม.5</t>
  </si>
  <si>
    <t>ที่ดินและสิ่งก่อสร้าง (จ่ายจากเงินรายได้)</t>
  </si>
  <si>
    <t>-โครงการถมดินบริเวณหน้าซอยทางเข้าวัดวังหมู</t>
  </si>
  <si>
    <t>-จัดซื้อโต๊ะทำงานขนาด 5 ฟุตพร้อมเก้าอื้ จำนวน 1 ชุด    (คลัง)</t>
  </si>
  <si>
    <t>4</t>
  </si>
  <si>
    <t>1,4</t>
  </si>
  <si>
    <t>5</t>
  </si>
  <si>
    <t>2,5</t>
  </si>
  <si>
    <t>-ปรับปรุงแหล่งน้ำดิบบ้านดงช้างดี</t>
  </si>
  <si>
    <t>-ค่าสูบน้ำดิบจากสระเพื่อผลิตน้ำประปา ม.8</t>
  </si>
  <si>
    <t>-วางท่อฝาย ม.5 จำนวน 36 ท่อน</t>
  </si>
  <si>
    <t>3,5</t>
  </si>
  <si>
    <t xml:space="preserve">-รื้อฝายและวางท่อระบายน้ำ จำนวน 6 ท่อน </t>
  </si>
  <si>
    <t>-ซื้อเครื่องสูบน้ำ จำนวน 4 เครื่อง</t>
  </si>
  <si>
    <t>-ซื้อเครื่องกำเนิดไฟฟ้า จำนวน 1 เครื่อง</t>
  </si>
  <si>
    <t>-ซื้อเลื่อยยนต์ จำนวน 2 เครื่อง</t>
  </si>
  <si>
    <t>-วางท่อเมนจ่ายน้ำกลุ่มแม่ชำนาญ จำนวน 213 ท่อน</t>
  </si>
  <si>
    <t>ค่าครุภัณฑ์ (จ่ายจากเงินรายได้)</t>
  </si>
  <si>
    <t>-จัดซื้อซัมเมอร์ส จำนวน 1 เครื่อง</t>
  </si>
  <si>
    <t>-ซื้อคอมพิวเตอร์สำนักงาน จำนวน 1 ชุด</t>
  </si>
  <si>
    <t>-โครงการปลูกต้นไม้ร่วมใจภักดิ์ปลูกมเหสักข์สยามมินทร์ถวายฯ</t>
  </si>
  <si>
    <t>-ติดตั้งเสียงไร้สายบริเวณกลุ่มคลองจระเข้ ม.4 จำนวน 1 จุด</t>
  </si>
  <si>
    <t>-ค่าจัดทำวารสารประชาสัมพันธ์        (ปลัด)</t>
  </si>
  <si>
    <t>-ค่ารางวัดสอบเขตฯ หนังสือสำคัญเลขที่ 14647 (ป่าแดงสวนสาธารณะประโยชน์)</t>
  </si>
  <si>
    <t>4,5</t>
  </si>
  <si>
    <t>-โครงการปรับปรุง ศพด.และศูนย์การเรียนรู้ ICTชุมชน</t>
  </si>
  <si>
    <t>เงินอุดหนุน (จ่ายจากเงินอุดหนุน)</t>
  </si>
  <si>
    <t>6</t>
  </si>
  <si>
    <t>2,6</t>
  </si>
  <si>
    <t>7</t>
  </si>
  <si>
    <t>5,7</t>
  </si>
  <si>
    <t>4,7</t>
  </si>
  <si>
    <t>-ตู้เหล็กบานเลื่อนกระจก ขนาด 120 ม.จำนวน 1 หลัง</t>
  </si>
  <si>
    <t xml:space="preserve">-ฐานรองตู้ขนาด 4 ฟุต จำนวน 5 อัน </t>
  </si>
  <si>
    <t xml:space="preserve">-โซฟา จำนวน 1 ตัว </t>
  </si>
  <si>
    <t xml:space="preserve">-เก้าอี้แถว 4 ที่นั่ง จำนวน 1 แถว </t>
  </si>
  <si>
    <t xml:space="preserve">-เก้าอื้บุนวมขา C จำนวน 1 ตัว </t>
  </si>
  <si>
    <t>-จัดซื้อเครื่องรับสัญญาณระบบกระจายเสียงไร้สาย จำนวน 2 ชุด ม.3 ซ.3</t>
  </si>
  <si>
    <t>-คอมพิวเตอร์ 1 ชุด โครงการจัดทำแผนที่ภาษี (คลัง)</t>
  </si>
  <si>
    <t>-</t>
  </si>
  <si>
    <t>-วางท่อเมนจ่ายน้ำ PVC ม.6 จำนวน 191 ท่อน</t>
  </si>
  <si>
    <t>เทศบาลตำบลหาดกรวด  อำเภอเมือง  จังหวัดอุตรดิตถ์</t>
  </si>
  <si>
    <t>งบแสดงผลการดำเนินงานจ่ายจากเงินรายรับ</t>
  </si>
  <si>
    <t>ประจำปีงบประมาณ 2555</t>
  </si>
  <si>
    <t>เงินเดือน</t>
  </si>
  <si>
    <t>ค่าจ้างประจำ</t>
  </si>
  <si>
    <t>ค่าจ้างชั่วคราว</t>
  </si>
  <si>
    <t>ค่าตอบแทน</t>
  </si>
  <si>
    <t>ค่าใช้สอย</t>
  </si>
  <si>
    <t xml:space="preserve">ค่าวัสดุ </t>
  </si>
  <si>
    <t>ค่าสาธารณูปโภค</t>
  </si>
  <si>
    <t>เงินอุดหนุน</t>
  </si>
  <si>
    <t>ค่าครุภัณฑ์  (หมายเหตุ 1)</t>
  </si>
  <si>
    <t>ที่ดินและสิ่งก่อสร้าง  (หมายเหตุ 2)</t>
  </si>
  <si>
    <t>รวมรายจ่าย</t>
  </si>
  <si>
    <t>รวม</t>
  </si>
  <si>
    <t>รักษาความ</t>
  </si>
  <si>
    <t>สงบภายใน</t>
  </si>
  <si>
    <t>การศึกษา</t>
  </si>
  <si>
    <t>สาธารณสุข</t>
  </si>
  <si>
    <t>สังคม</t>
  </si>
  <si>
    <t>สงเคราะห์</t>
  </si>
  <si>
    <t>เคหะและ</t>
  </si>
  <si>
    <t>ชุมชน</t>
  </si>
  <si>
    <t>สร้างความ</t>
  </si>
  <si>
    <t>เข้มแข็งฯ</t>
  </si>
  <si>
    <t>ศาสนาฯ</t>
  </si>
  <si>
    <t>การพาณิชย์</t>
  </si>
  <si>
    <t>การเกษตร</t>
  </si>
  <si>
    <t>3. โต๊ะประชุมตรง ขนาด 2.40 ม. จำนวน 1 ตัว (โอนลดไม่ได้ซื้อ)</t>
  </si>
  <si>
    <t>5. โต๊ะวางคอมพิวเตอร์ 1.00 ม. จำนวน 1 ตัว (โอนลดไม่ได้ซื้อ)</t>
  </si>
  <si>
    <t>รวมเงินอุดหนุนเฉพาะกิจ</t>
  </si>
  <si>
    <t>เงินนอกงบประมาณ</t>
  </si>
  <si>
    <t>รวมเงินนอกงบประมาณ</t>
  </si>
  <si>
    <t>เงินอุดหนุนเฉพาะกิจ</t>
  </si>
  <si>
    <t>รวมทั้งสิ้น</t>
  </si>
  <si>
    <t>รายรับ</t>
  </si>
  <si>
    <t>ภาษีอาการ</t>
  </si>
  <si>
    <t>ค่าธรรมเนียม ค่าปรับ และใบอนุญาต</t>
  </si>
  <si>
    <t>รายได้จากสาธารณูปโภค</t>
  </si>
  <si>
    <t>รายได้เบ็ดเตล็ด</t>
  </si>
  <si>
    <t>รัฐบาลจัดสรร</t>
  </si>
  <si>
    <t>อุดหนุนทั่วไป</t>
  </si>
  <si>
    <t>รวมรายรับ</t>
  </si>
  <si>
    <t>รวมรายรับทั้งสิ้น</t>
  </si>
  <si>
    <t>รายได้จากทรัพย์สิน</t>
  </si>
  <si>
    <t>เงินรายรับ สูงกว่าหรือ(ต่ำ)กว่ารายจ่าย</t>
  </si>
  <si>
    <t>เงินอุดหนุนทั่วไป</t>
  </si>
  <si>
    <t>(ลงชื่อ)..................................................</t>
  </si>
  <si>
    <t xml:space="preserve">           (นางสาวอารม  คุ้มแสง)</t>
  </si>
  <si>
    <t xml:space="preserve">            ผู้อำนวยการกองคลัง</t>
  </si>
  <si>
    <t>(ลงชื่อ)..........................................................</t>
  </si>
  <si>
    <t xml:space="preserve">           (นางสาวพรรณพิไล  สาดคำ)</t>
  </si>
  <si>
    <t xml:space="preserve">    ปลัดเทศบาลตำบลหาดกรวด</t>
  </si>
  <si>
    <t xml:space="preserve">         ปลัดเทศบาลตำบลหาดกรวด  ปฏิบัติหน้าที่ </t>
  </si>
  <si>
    <t xml:space="preserve">        นายกเทศมนตรีตำบลหาดกรวด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</si>
</sst>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5" tint="0.59999389629810485"/>
      <name val="TH SarabunPSK"/>
      <family val="2"/>
    </font>
    <font>
      <sz val="14"/>
      <color theme="4" tint="0.79998168889431442"/>
      <name val="TH SarabunPSK"/>
      <family val="2"/>
    </font>
    <font>
      <sz val="14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3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/>
    <xf numFmtId="43" fontId="2" fillId="3" borderId="1" xfId="1" applyFont="1" applyFill="1" applyBorder="1"/>
    <xf numFmtId="49" fontId="2" fillId="4" borderId="1" xfId="0" applyNumberFormat="1" applyFont="1" applyFill="1" applyBorder="1"/>
    <xf numFmtId="43" fontId="2" fillId="4" borderId="1" xfId="1" applyFont="1" applyFill="1" applyBorder="1"/>
    <xf numFmtId="49" fontId="2" fillId="5" borderId="1" xfId="0" applyNumberFormat="1" applyFont="1" applyFill="1" applyBorder="1"/>
    <xf numFmtId="43" fontId="2" fillId="5" borderId="1" xfId="1" applyFont="1" applyFill="1" applyBorder="1"/>
    <xf numFmtId="49" fontId="2" fillId="0" borderId="1" xfId="0" applyNumberFormat="1" applyFont="1" applyBorder="1" applyAlignment="1">
      <alignment horizontal="left"/>
    </xf>
    <xf numFmtId="49" fontId="2" fillId="0" borderId="7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5" borderId="0" xfId="0" applyNumberFormat="1" applyFont="1" applyFill="1"/>
    <xf numFmtId="0" fontId="2" fillId="5" borderId="0" xfId="0" applyFont="1" applyFill="1"/>
    <xf numFmtId="49" fontId="2" fillId="6" borderId="1" xfId="0" applyNumberFormat="1" applyFont="1" applyFill="1" applyBorder="1"/>
    <xf numFmtId="43" fontId="2" fillId="6" borderId="1" xfId="1" applyFont="1" applyFill="1" applyBorder="1"/>
    <xf numFmtId="49" fontId="4" fillId="3" borderId="1" xfId="0" applyNumberFormat="1" applyFont="1" applyFill="1" applyBorder="1"/>
    <xf numFmtId="49" fontId="2" fillId="5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3" fontId="6" fillId="3" borderId="1" xfId="1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43" fontId="2" fillId="3" borderId="1" xfId="0" applyNumberFormat="1" applyFont="1" applyFill="1" applyBorder="1"/>
    <xf numFmtId="43" fontId="2" fillId="4" borderId="1" xfId="0" applyNumberFormat="1" applyFont="1" applyFill="1" applyBorder="1"/>
    <xf numFmtId="49" fontId="5" fillId="6" borderId="1" xfId="0" applyNumberFormat="1" applyFont="1" applyFill="1" applyBorder="1"/>
    <xf numFmtId="49" fontId="2" fillId="6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43" fontId="6" fillId="6" borderId="1" xfId="1" applyFont="1" applyFill="1" applyBorder="1"/>
    <xf numFmtId="0" fontId="3" fillId="0" borderId="1" xfId="0" applyFont="1" applyBorder="1" applyAlignment="1">
      <alignment horizontal="center"/>
    </xf>
    <xf numFmtId="0" fontId="2" fillId="6" borderId="1" xfId="0" applyFont="1" applyFill="1" applyBorder="1"/>
    <xf numFmtId="43" fontId="2" fillId="6" borderId="1" xfId="0" applyNumberFormat="1" applyFont="1" applyFill="1" applyBorder="1"/>
    <xf numFmtId="43" fontId="2" fillId="0" borderId="0" xfId="1" applyFont="1"/>
    <xf numFmtId="49" fontId="2" fillId="6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3" fillId="0" borderId="1" xfId="0" applyFont="1" applyBorder="1"/>
    <xf numFmtId="43" fontId="3" fillId="0" borderId="8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5" xfId="1" applyFont="1" applyBorder="1"/>
    <xf numFmtId="43" fontId="2" fillId="0" borderId="8" xfId="1" applyFont="1" applyBorder="1"/>
    <xf numFmtId="49" fontId="3" fillId="0" borderId="1" xfId="0" applyNumberFormat="1" applyFont="1" applyBorder="1" applyAlignment="1">
      <alignment horizontal="left"/>
    </xf>
    <xf numFmtId="43" fontId="3" fillId="0" borderId="7" xfId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7" xfId="1" applyFont="1" applyBorder="1" applyAlignment="1">
      <alignment horizontal="center"/>
    </xf>
    <xf numFmtId="43" fontId="3" fillId="0" borderId="0" xfId="1" applyFont="1" applyBorder="1"/>
    <xf numFmtId="43" fontId="3" fillId="0" borderId="8" xfId="1" applyFont="1" applyBorder="1"/>
    <xf numFmtId="43" fontId="3" fillId="0" borderId="1" xfId="1" applyFont="1" applyBorder="1" applyAlignment="1">
      <alignment horizontal="center"/>
    </xf>
    <xf numFmtId="49" fontId="2" fillId="7" borderId="1" xfId="0" applyNumberFormat="1" applyFont="1" applyFill="1" applyBorder="1"/>
    <xf numFmtId="43" fontId="2" fillId="7" borderId="1" xfId="1" applyFont="1" applyFill="1" applyBorder="1"/>
    <xf numFmtId="49" fontId="4" fillId="6" borderId="1" xfId="0" applyNumberFormat="1" applyFont="1" applyFill="1" applyBorder="1"/>
    <xf numFmtId="49" fontId="3" fillId="0" borderId="1" xfId="0" applyNumberFormat="1" applyFont="1" applyBorder="1"/>
    <xf numFmtId="49" fontId="2" fillId="2" borderId="1" xfId="0" applyNumberFormat="1" applyFont="1" applyFill="1" applyBorder="1"/>
    <xf numFmtId="43" fontId="2" fillId="0" borderId="1" xfId="0" applyNumberFormat="1" applyFont="1" applyBorder="1"/>
    <xf numFmtId="49" fontId="2" fillId="0" borderId="1" xfId="1" applyNumberFormat="1" applyFont="1" applyBorder="1"/>
    <xf numFmtId="49" fontId="5" fillId="6" borderId="1" xfId="1" applyNumberFormat="1" applyFont="1" applyFill="1" applyBorder="1"/>
    <xf numFmtId="49" fontId="2" fillId="6" borderId="1" xfId="1" applyNumberFormat="1" applyFont="1" applyFill="1" applyBorder="1"/>
    <xf numFmtId="49" fontId="2" fillId="3" borderId="1" xfId="1" applyNumberFormat="1" applyFont="1" applyFill="1" applyBorder="1"/>
    <xf numFmtId="49" fontId="3" fillId="0" borderId="3" xfId="0" applyNumberFormat="1" applyFont="1" applyBorder="1"/>
    <xf numFmtId="49" fontId="3" fillId="0" borderId="0" xfId="0" applyNumberFormat="1" applyFont="1" applyBorder="1"/>
    <xf numFmtId="49" fontId="2" fillId="5" borderId="1" xfId="1" applyNumberFormat="1" applyFont="1" applyFill="1" applyBorder="1"/>
    <xf numFmtId="49" fontId="4" fillId="3" borderId="1" xfId="1" applyNumberFormat="1" applyFont="1" applyFill="1" applyBorder="1"/>
    <xf numFmtId="49" fontId="3" fillId="5" borderId="1" xfId="0" applyNumberFormat="1" applyFont="1" applyFill="1" applyBorder="1" applyAlignment="1">
      <alignment horizontal="center"/>
    </xf>
    <xf numFmtId="49" fontId="2" fillId="7" borderId="1" xfId="1" applyNumberFormat="1" applyFont="1" applyFill="1" applyBorder="1"/>
    <xf numFmtId="49" fontId="2" fillId="4" borderId="1" xfId="1" applyNumberFormat="1" applyFont="1" applyFill="1" applyBorder="1"/>
    <xf numFmtId="49" fontId="4" fillId="6" borderId="1" xfId="1" applyNumberFormat="1" applyFont="1" applyFill="1" applyBorder="1"/>
    <xf numFmtId="49" fontId="3" fillId="0" borderId="3" xfId="1" applyNumberFormat="1" applyFont="1" applyBorder="1"/>
    <xf numFmtId="49" fontId="3" fillId="0" borderId="0" xfId="1" applyNumberFormat="1" applyFont="1" applyBorder="1"/>
    <xf numFmtId="49" fontId="3" fillId="0" borderId="1" xfId="1" applyNumberFormat="1" applyFont="1" applyBorder="1"/>
    <xf numFmtId="49" fontId="3" fillId="0" borderId="7" xfId="0" applyNumberFormat="1" applyFont="1" applyBorder="1"/>
    <xf numFmtId="49" fontId="3" fillId="0" borderId="9" xfId="0" applyNumberFormat="1" applyFont="1" applyBorder="1"/>
    <xf numFmtId="49" fontId="7" fillId="0" borderId="1" xfId="1" applyNumberFormat="1" applyFont="1" applyBorder="1"/>
    <xf numFmtId="0" fontId="3" fillId="0" borderId="1" xfId="0" applyFont="1" applyBorder="1" applyAlignment="1">
      <alignment horizontal="center"/>
    </xf>
    <xf numFmtId="49" fontId="8" fillId="0" borderId="1" xfId="1" applyNumberFormat="1" applyFont="1" applyBorder="1"/>
    <xf numFmtId="49" fontId="9" fillId="0" borderId="1" xfId="1" applyNumberFormat="1" applyFont="1" applyBorder="1"/>
    <xf numFmtId="0" fontId="2" fillId="0" borderId="7" xfId="0" applyFont="1" applyBorder="1" applyAlignment="1">
      <alignment horizontal="center"/>
    </xf>
    <xf numFmtId="43" fontId="2" fillId="2" borderId="1" xfId="1" applyFont="1" applyFill="1" applyBorder="1"/>
    <xf numFmtId="49" fontId="2" fillId="2" borderId="1" xfId="1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2" fillId="0" borderId="1" xfId="1" applyFont="1" applyBorder="1" applyAlignment="1">
      <alignment horizontal="right"/>
    </xf>
    <xf numFmtId="43" fontId="2" fillId="5" borderId="1" xfId="1" applyFont="1" applyFill="1" applyBorder="1" applyAlignment="1">
      <alignment horizontal="right"/>
    </xf>
    <xf numFmtId="2" fontId="2" fillId="5" borderId="1" xfId="0" applyNumberFormat="1" applyFont="1" applyFill="1" applyBorder="1"/>
    <xf numFmtId="0" fontId="2" fillId="0" borderId="1" xfId="0" applyFont="1" applyBorder="1" applyAlignment="1">
      <alignment horizontal="right"/>
    </xf>
    <xf numFmtId="49" fontId="2" fillId="5" borderId="1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2" fillId="0" borderId="13" xfId="0" applyNumberFormat="1" applyFont="1" applyBorder="1"/>
    <xf numFmtId="43" fontId="2" fillId="0" borderId="14" xfId="0" applyNumberFormat="1" applyFont="1" applyBorder="1"/>
    <xf numFmtId="43" fontId="2" fillId="0" borderId="15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3" fontId="3" fillId="0" borderId="16" xfId="1" applyFont="1" applyBorder="1"/>
    <xf numFmtId="0" fontId="3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3" fillId="0" borderId="14" xfId="0" applyFont="1" applyBorder="1"/>
    <xf numFmtId="0" fontId="11" fillId="0" borderId="14" xfId="0" applyFont="1" applyBorder="1"/>
    <xf numFmtId="0" fontId="3" fillId="0" borderId="17" xfId="0" applyFont="1" applyBorder="1" applyAlignment="1">
      <alignment horizontal="center"/>
    </xf>
    <xf numFmtId="0" fontId="2" fillId="0" borderId="17" xfId="0" applyFont="1" applyBorder="1"/>
    <xf numFmtId="43" fontId="2" fillId="0" borderId="14" xfId="1" applyFont="1" applyBorder="1"/>
    <xf numFmtId="43" fontId="3" fillId="0" borderId="14" xfId="1" applyFont="1" applyBorder="1"/>
    <xf numFmtId="43" fontId="3" fillId="0" borderId="15" xfId="1" applyFont="1" applyBorder="1"/>
    <xf numFmtId="43" fontId="2" fillId="0" borderId="15" xfId="1" applyFont="1" applyBorder="1"/>
    <xf numFmtId="0" fontId="11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" fillId="0" borderId="0" xfId="0" applyFont="1" applyBorder="1"/>
    <xf numFmtId="43" fontId="2" fillId="0" borderId="0" xfId="0" applyNumberFormat="1" applyFont="1" applyBorder="1"/>
    <xf numFmtId="43" fontId="2" fillId="0" borderId="0" xfId="1" applyFont="1" applyBorder="1"/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43" fontId="2" fillId="0" borderId="18" xfId="0" applyNumberFormat="1" applyFont="1" applyBorder="1"/>
    <xf numFmtId="0" fontId="2" fillId="0" borderId="19" xfId="0" applyFont="1" applyBorder="1"/>
    <xf numFmtId="43" fontId="2" fillId="0" borderId="20" xfId="0" applyNumberFormat="1" applyFont="1" applyBorder="1"/>
    <xf numFmtId="43" fontId="2" fillId="0" borderId="21" xfId="0" applyNumberFormat="1" applyFont="1" applyBorder="1"/>
    <xf numFmtId="43" fontId="2" fillId="0" borderId="17" xfId="0" applyNumberFormat="1" applyFont="1" applyBorder="1"/>
    <xf numFmtId="43" fontId="2" fillId="0" borderId="23" xfId="0" applyNumberFormat="1" applyFont="1" applyBorder="1"/>
    <xf numFmtId="0" fontId="2" fillId="0" borderId="19" xfId="0" applyFont="1" applyBorder="1" applyAlignment="1">
      <alignment horizontal="left"/>
    </xf>
    <xf numFmtId="43" fontId="3" fillId="0" borderId="16" xfId="0" applyNumberFormat="1" applyFont="1" applyBorder="1"/>
    <xf numFmtId="43" fontId="3" fillId="0" borderId="22" xfId="0" applyNumberFormat="1" applyFont="1" applyBorder="1"/>
    <xf numFmtId="43" fontId="2" fillId="0" borderId="24" xfId="0" applyNumberFormat="1" applyFont="1" applyBorder="1"/>
    <xf numFmtId="0" fontId="2" fillId="0" borderId="18" xfId="0" applyFont="1" applyBorder="1"/>
    <xf numFmtId="0" fontId="3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43" fontId="3" fillId="0" borderId="11" xfId="1" applyFont="1" applyBorder="1" applyAlignment="1">
      <alignment horizontal="center"/>
    </xf>
    <xf numFmtId="43" fontId="2" fillId="0" borderId="0" xfId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4"/>
  <sheetViews>
    <sheetView view="pageBreakPreview" zoomScaleSheetLayoutView="100" workbookViewId="0">
      <selection activeCell="G21" sqref="G21"/>
    </sheetView>
  </sheetViews>
  <sheetFormatPr defaultRowHeight="14.25"/>
  <cols>
    <col min="1" max="1" width="55.375" customWidth="1"/>
    <col min="2" max="2" width="12.75" customWidth="1"/>
    <col min="3" max="3" width="2.25" customWidth="1"/>
    <col min="4" max="4" width="11.625" customWidth="1"/>
    <col min="5" max="5" width="1.75" customWidth="1"/>
    <col min="6" max="6" width="11.25" customWidth="1"/>
    <col min="7" max="7" width="11.5" customWidth="1"/>
    <col min="8" max="8" width="12.625" customWidth="1"/>
    <col min="9" max="9" width="12.25" customWidth="1"/>
    <col min="10" max="10" width="11.875" customWidth="1"/>
  </cols>
  <sheetData>
    <row r="1" spans="1:22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6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>
      <c r="A2" s="147" t="s">
        <v>233</v>
      </c>
      <c r="B2" s="147"/>
      <c r="C2" s="147"/>
      <c r="D2" s="147"/>
      <c r="E2" s="147"/>
      <c r="F2" s="147"/>
      <c r="G2" s="147"/>
      <c r="H2" s="147"/>
      <c r="I2" s="147"/>
      <c r="J2" s="1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100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100" t="s">
        <v>234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75">
      <c r="A6" s="35" t="s">
        <v>212</v>
      </c>
      <c r="B6" s="18"/>
      <c r="C6" s="18"/>
      <c r="D6" s="18"/>
      <c r="E6" s="18"/>
      <c r="F6" s="18"/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>
      <c r="A7" s="16" t="s">
        <v>293</v>
      </c>
      <c r="B7" s="18"/>
      <c r="C7" s="18"/>
      <c r="D7" s="18"/>
      <c r="E7" s="18"/>
      <c r="F7" s="18"/>
      <c r="G7" s="18"/>
      <c r="H7" s="18"/>
      <c r="I7" s="18"/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>
      <c r="A8" s="16" t="s">
        <v>294</v>
      </c>
      <c r="B8" s="18">
        <v>30000</v>
      </c>
      <c r="C8" s="18"/>
      <c r="D8" s="18"/>
      <c r="E8" s="18"/>
      <c r="F8" s="18"/>
      <c r="G8" s="18">
        <f>B8+D8-F8</f>
        <v>30000</v>
      </c>
      <c r="H8" s="18">
        <f>G8</f>
        <v>30000</v>
      </c>
      <c r="I8" s="101" t="s">
        <v>394</v>
      </c>
      <c r="J8" s="101" t="s">
        <v>394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.75">
      <c r="A9" s="31"/>
      <c r="B9" s="32">
        <f>SUM(B8)</f>
        <v>30000</v>
      </c>
      <c r="C9" s="32"/>
      <c r="D9" s="32">
        <f>SUM(D8)</f>
        <v>0</v>
      </c>
      <c r="E9" s="32"/>
      <c r="F9" s="32">
        <f>SUM(F8)</f>
        <v>0</v>
      </c>
      <c r="G9" s="32">
        <f>SUM(G8)</f>
        <v>30000</v>
      </c>
      <c r="H9" s="32">
        <f t="shared" ref="H9:J9" si="0">SUM(H8)</f>
        <v>30000</v>
      </c>
      <c r="I9" s="32">
        <f t="shared" si="0"/>
        <v>0</v>
      </c>
      <c r="J9" s="32">
        <f t="shared" si="0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>
      <c r="A10" s="35" t="s">
        <v>53</v>
      </c>
      <c r="B10" s="18"/>
      <c r="C10" s="18"/>
      <c r="D10" s="18"/>
      <c r="E10" s="18"/>
      <c r="F10" s="18"/>
      <c r="G10" s="18"/>
      <c r="H10" s="18"/>
      <c r="I10" s="18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.75">
      <c r="A11" s="16" t="s">
        <v>235</v>
      </c>
      <c r="B11" s="18">
        <v>120000</v>
      </c>
      <c r="C11" s="18"/>
      <c r="D11" s="18"/>
      <c r="E11" s="18"/>
      <c r="F11" s="18"/>
      <c r="G11" s="18">
        <f>B11+D11-F11</f>
        <v>120000</v>
      </c>
      <c r="H11" s="18">
        <f>G11</f>
        <v>120000</v>
      </c>
      <c r="I11" s="101" t="s">
        <v>394</v>
      </c>
      <c r="J11" s="101" t="s">
        <v>394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.75">
      <c r="A12" s="20"/>
      <c r="B12" s="21">
        <f>SUM(B11)</f>
        <v>120000</v>
      </c>
      <c r="C12" s="21"/>
      <c r="D12" s="21">
        <f>SUM(D11)</f>
        <v>0</v>
      </c>
      <c r="E12" s="21"/>
      <c r="F12" s="21">
        <f>SUM(F11)</f>
        <v>0</v>
      </c>
      <c r="G12" s="21">
        <f>SUM(G11)</f>
        <v>120000</v>
      </c>
      <c r="H12" s="21">
        <f t="shared" ref="H12:I12" si="1">SUM(H11)</f>
        <v>120000</v>
      </c>
      <c r="I12" s="21">
        <f t="shared" si="1"/>
        <v>0</v>
      </c>
      <c r="J12" s="21">
        <f>SUM(J11)</f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.75">
      <c r="A13" s="31" t="s">
        <v>316</v>
      </c>
      <c r="B13" s="32">
        <f>B9</f>
        <v>30000</v>
      </c>
      <c r="C13" s="32"/>
      <c r="D13" s="32">
        <f>D9</f>
        <v>0</v>
      </c>
      <c r="E13" s="32"/>
      <c r="F13" s="32">
        <f>F9</f>
        <v>0</v>
      </c>
      <c r="G13" s="32">
        <f>G9</f>
        <v>30000</v>
      </c>
      <c r="H13" s="32">
        <f t="shared" ref="H13:J13" si="2">H9</f>
        <v>30000</v>
      </c>
      <c r="I13" s="32">
        <f t="shared" si="2"/>
        <v>0</v>
      </c>
      <c r="J13" s="32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>
      <c r="A14" s="20" t="s">
        <v>317</v>
      </c>
      <c r="B14" s="21">
        <f>B12</f>
        <v>120000</v>
      </c>
      <c r="C14" s="21"/>
      <c r="D14" s="21">
        <f>D12</f>
        <v>0</v>
      </c>
      <c r="E14" s="21"/>
      <c r="F14" s="21">
        <f>F12</f>
        <v>0</v>
      </c>
      <c r="G14" s="21">
        <f>G12</f>
        <v>120000</v>
      </c>
      <c r="H14" s="21">
        <f t="shared" ref="H14:J14" si="3">H12</f>
        <v>120000</v>
      </c>
      <c r="I14" s="21">
        <f t="shared" si="3"/>
        <v>0</v>
      </c>
      <c r="J14" s="21">
        <f t="shared" si="3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.75">
      <c r="A15" s="22" t="s">
        <v>318</v>
      </c>
      <c r="B15" s="23">
        <f>B13+B14</f>
        <v>150000</v>
      </c>
      <c r="C15" s="23"/>
      <c r="D15" s="23">
        <f>D13+D14</f>
        <v>0</v>
      </c>
      <c r="E15" s="23"/>
      <c r="F15" s="23">
        <f>F13+F14</f>
        <v>0</v>
      </c>
      <c r="G15" s="23">
        <f>G13+G14</f>
        <v>150000</v>
      </c>
      <c r="H15" s="23">
        <f t="shared" ref="H15:J15" si="4">H13+H14</f>
        <v>150000</v>
      </c>
      <c r="I15" s="23">
        <f t="shared" si="4"/>
        <v>0</v>
      </c>
      <c r="J15" s="23">
        <f t="shared" si="4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>
      <c r="A16" s="16"/>
      <c r="B16" s="18"/>
      <c r="C16" s="18"/>
      <c r="D16" s="18"/>
      <c r="E16" s="18"/>
      <c r="F16" s="18"/>
      <c r="G16" s="18"/>
      <c r="H16" s="18"/>
      <c r="I16" s="18"/>
      <c r="J16" s="1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.75">
      <c r="A17" s="16"/>
      <c r="B17" s="18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.75">
      <c r="A18" s="16"/>
      <c r="B18" s="18"/>
      <c r="C18" s="18"/>
      <c r="D18" s="18"/>
      <c r="E18" s="18"/>
      <c r="F18" s="18"/>
      <c r="G18" s="18"/>
      <c r="H18" s="18"/>
      <c r="I18" s="18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.75">
      <c r="A19" s="16"/>
      <c r="B19" s="18"/>
      <c r="C19" s="18"/>
      <c r="D19" s="18"/>
      <c r="E19" s="18"/>
      <c r="F19" s="18"/>
      <c r="G19" s="18"/>
      <c r="H19" s="18"/>
      <c r="I19" s="18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.75">
      <c r="A20" s="16"/>
      <c r="B20" s="18"/>
      <c r="C20" s="18"/>
      <c r="D20" s="18"/>
      <c r="E20" s="18"/>
      <c r="F20" s="18"/>
      <c r="G20" s="18"/>
      <c r="H20" s="18"/>
      <c r="I20" s="18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.75">
      <c r="A21" s="16"/>
      <c r="B21" s="18"/>
      <c r="C21" s="18"/>
      <c r="D21" s="18"/>
      <c r="E21" s="18"/>
      <c r="F21" s="18"/>
      <c r="G21" s="18"/>
      <c r="H21" s="18"/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75">
      <c r="A22" s="16"/>
      <c r="B22" s="18"/>
      <c r="C22" s="18"/>
      <c r="D22" s="18"/>
      <c r="E22" s="18"/>
      <c r="F22" s="18"/>
      <c r="G22" s="18"/>
      <c r="H22" s="18"/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.75">
      <c r="A23" s="16"/>
      <c r="B23" s="18"/>
      <c r="C23" s="18"/>
      <c r="D23" s="18"/>
      <c r="E23" s="18"/>
      <c r="F23" s="18"/>
      <c r="G23" s="18"/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.75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.75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.7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.75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.7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.75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.75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.75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.75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.75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.75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</sheetData>
  <mergeCells count="3">
    <mergeCell ref="A1:J1"/>
    <mergeCell ref="A2:J2"/>
    <mergeCell ref="A3:J3"/>
  </mergeCells>
  <pageMargins left="0.8" right="0.19" top="0.31" bottom="0.25" header="0.3" footer="0.25"/>
  <pageSetup paperSize="5" orientation="landscape" horizontalDpi="4294967293" verticalDpi="0" r:id="rId1"/>
  <rowBreaks count="1" manualBreakCount="1">
    <brk id="1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741"/>
  <sheetViews>
    <sheetView view="pageBreakPreview" zoomScaleSheetLayoutView="100" workbookViewId="0">
      <selection activeCell="I24" sqref="I24"/>
    </sheetView>
  </sheetViews>
  <sheetFormatPr defaultRowHeight="14.25"/>
  <cols>
    <col min="1" max="1" width="55.375" customWidth="1"/>
    <col min="2" max="2" width="12.75" customWidth="1"/>
    <col min="3" max="3" width="2.25" customWidth="1"/>
    <col min="4" max="4" width="11.625" customWidth="1"/>
    <col min="5" max="5" width="1.75" customWidth="1"/>
    <col min="6" max="6" width="11.25" customWidth="1"/>
    <col min="7" max="7" width="11.5" customWidth="1"/>
    <col min="8" max="8" width="12.625" customWidth="1"/>
    <col min="9" max="9" width="12.25" customWidth="1"/>
    <col min="10" max="10" width="11.875" customWidth="1"/>
    <col min="11" max="11" width="11.625" customWidth="1"/>
  </cols>
  <sheetData>
    <row r="1" spans="1:23">
      <c r="K1">
        <v>2</v>
      </c>
    </row>
    <row r="2" spans="1:23" ht="18.7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227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6"/>
      <c r="B5" s="8"/>
      <c r="C5" s="3"/>
      <c r="D5" s="10"/>
      <c r="E5" s="3"/>
      <c r="F5" s="10"/>
      <c r="G5" s="12" t="s">
        <v>3</v>
      </c>
      <c r="H5" s="13" t="s">
        <v>7</v>
      </c>
      <c r="I5" s="12" t="s">
        <v>8</v>
      </c>
      <c r="J5" s="148" t="s">
        <v>9</v>
      </c>
      <c r="K5" s="14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7" t="s">
        <v>12</v>
      </c>
      <c r="B6" s="9" t="s">
        <v>3</v>
      </c>
      <c r="C6" s="80"/>
      <c r="D6" s="11" t="s">
        <v>4</v>
      </c>
      <c r="E6" s="4"/>
      <c r="F6" s="11" t="s">
        <v>5</v>
      </c>
      <c r="G6" s="9" t="s">
        <v>6</v>
      </c>
      <c r="H6" s="9" t="s">
        <v>3</v>
      </c>
      <c r="I6" s="14"/>
      <c r="J6" s="47" t="s">
        <v>22</v>
      </c>
      <c r="K6" s="47" t="s">
        <v>228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47" t="s">
        <v>187</v>
      </c>
      <c r="B7" s="5"/>
      <c r="C7" s="16"/>
      <c r="D7" s="5"/>
      <c r="E7" s="16"/>
      <c r="F7" s="5"/>
      <c r="G7" s="5"/>
      <c r="H7" s="5"/>
      <c r="I7" s="5"/>
      <c r="J7" s="5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16" t="s">
        <v>229</v>
      </c>
      <c r="B8" s="18">
        <v>70000</v>
      </c>
      <c r="C8" s="75"/>
      <c r="D8" s="18"/>
      <c r="E8" s="75"/>
      <c r="F8" s="18"/>
      <c r="G8" s="18">
        <f>B8+D8-F8</f>
        <v>70000</v>
      </c>
      <c r="H8" s="18">
        <f>G8-I8</f>
        <v>2400</v>
      </c>
      <c r="I8" s="18">
        <f>J8</f>
        <v>67600</v>
      </c>
      <c r="J8" s="18">
        <v>67600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16" t="s">
        <v>230</v>
      </c>
      <c r="B9" s="18">
        <v>100000</v>
      </c>
      <c r="C9" s="75"/>
      <c r="D9" s="18"/>
      <c r="E9" s="75" t="s">
        <v>361</v>
      </c>
      <c r="F9" s="18">
        <v>80000</v>
      </c>
      <c r="G9" s="18">
        <f>B9+D9-F9</f>
        <v>20000</v>
      </c>
      <c r="H9" s="18">
        <f>G9</f>
        <v>20000</v>
      </c>
      <c r="I9" s="101" t="s">
        <v>394</v>
      </c>
      <c r="J9" s="18"/>
      <c r="K9" s="101" t="s">
        <v>394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20"/>
      <c r="B10" s="21">
        <f>SUM(B8:B9)</f>
        <v>170000</v>
      </c>
      <c r="C10" s="78"/>
      <c r="D10" s="21">
        <f>SUM(D8:D9)</f>
        <v>0</v>
      </c>
      <c r="E10" s="78"/>
      <c r="F10" s="21">
        <f>SUM(F8:F9)</f>
        <v>80000</v>
      </c>
      <c r="G10" s="21">
        <f>SUM(G8:G9)</f>
        <v>90000</v>
      </c>
      <c r="H10" s="21">
        <f t="shared" ref="H10:K10" si="0">SUM(H8:H9)</f>
        <v>22400</v>
      </c>
      <c r="I10" s="21">
        <f t="shared" si="0"/>
        <v>67600</v>
      </c>
      <c r="J10" s="21">
        <f t="shared" si="0"/>
        <v>67600</v>
      </c>
      <c r="K10" s="21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35" t="s">
        <v>212</v>
      </c>
      <c r="B11" s="18"/>
      <c r="C11" s="75"/>
      <c r="D11" s="18"/>
      <c r="E11" s="75"/>
      <c r="F11" s="18"/>
      <c r="G11" s="18"/>
      <c r="H11" s="18"/>
      <c r="I11" s="18"/>
      <c r="J11" s="18"/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16" t="s">
        <v>231</v>
      </c>
      <c r="B12" s="18"/>
      <c r="C12" s="75"/>
      <c r="D12" s="18"/>
      <c r="E12" s="75"/>
      <c r="F12" s="18"/>
      <c r="G12" s="18"/>
      <c r="H12" s="18"/>
      <c r="I12" s="18"/>
      <c r="J12" s="18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16" t="s">
        <v>232</v>
      </c>
      <c r="B13" s="18">
        <v>10000</v>
      </c>
      <c r="C13" s="75"/>
      <c r="D13" s="18"/>
      <c r="E13" s="75"/>
      <c r="F13" s="18"/>
      <c r="G13" s="18">
        <f t="shared" ref="G13" si="1">B13+D13-F13</f>
        <v>10000</v>
      </c>
      <c r="H13" s="18">
        <f>G13</f>
        <v>10000</v>
      </c>
      <c r="I13" s="101" t="s">
        <v>394</v>
      </c>
      <c r="J13" s="101"/>
      <c r="K13" s="101" t="s">
        <v>394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31"/>
      <c r="B14" s="32">
        <f>SUM(B13)</f>
        <v>10000</v>
      </c>
      <c r="C14" s="77"/>
      <c r="D14" s="32">
        <f>SUM(D13)</f>
        <v>0</v>
      </c>
      <c r="E14" s="77"/>
      <c r="F14" s="32">
        <f>SUM(F13)</f>
        <v>0</v>
      </c>
      <c r="G14" s="32">
        <f>SUM(G13)</f>
        <v>10000</v>
      </c>
      <c r="H14" s="32">
        <f>SUM(H13)</f>
        <v>10000</v>
      </c>
      <c r="I14" s="32">
        <f t="shared" ref="I14:K14" si="2">SUM(I13)</f>
        <v>0</v>
      </c>
      <c r="J14" s="32">
        <f t="shared" si="2"/>
        <v>0</v>
      </c>
      <c r="K14" s="32">
        <f t="shared" si="2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35" t="s">
        <v>222</v>
      </c>
      <c r="B15" s="18"/>
      <c r="C15" s="75"/>
      <c r="D15" s="18"/>
      <c r="E15" s="75"/>
      <c r="F15" s="18"/>
      <c r="G15" s="18"/>
      <c r="H15" s="18"/>
      <c r="I15" s="18"/>
      <c r="J15" s="18"/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16" t="s">
        <v>349</v>
      </c>
      <c r="B16" s="18">
        <v>800000</v>
      </c>
      <c r="C16" s="75"/>
      <c r="D16" s="18"/>
      <c r="E16" s="75"/>
      <c r="F16" s="18"/>
      <c r="G16" s="18">
        <f>B16+D16-F16</f>
        <v>800000</v>
      </c>
      <c r="H16" s="18">
        <f>G16-I16</f>
        <v>110000</v>
      </c>
      <c r="I16" s="18">
        <f>K16</f>
        <v>690000</v>
      </c>
      <c r="J16" s="18"/>
      <c r="K16" s="18">
        <v>690000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20"/>
      <c r="B17" s="21">
        <f>SUM(B16)</f>
        <v>800000</v>
      </c>
      <c r="C17" s="78"/>
      <c r="D17" s="21">
        <f>SUM(D16)</f>
        <v>0</v>
      </c>
      <c r="E17" s="78"/>
      <c r="F17" s="21">
        <f>SUM(F16)</f>
        <v>0</v>
      </c>
      <c r="G17" s="21">
        <f>SUM(G16)</f>
        <v>800000</v>
      </c>
      <c r="H17" s="21">
        <f>SUM(H16)</f>
        <v>110000</v>
      </c>
      <c r="I17" s="21">
        <f t="shared" ref="I17:K17" si="3">SUM(I16)</f>
        <v>690000</v>
      </c>
      <c r="J17" s="21">
        <f t="shared" si="3"/>
        <v>0</v>
      </c>
      <c r="K17" s="21">
        <f t="shared" si="3"/>
        <v>690000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31" t="s">
        <v>320</v>
      </c>
      <c r="B18" s="32">
        <f>B14</f>
        <v>10000</v>
      </c>
      <c r="C18" s="77"/>
      <c r="D18" s="32">
        <f>D14</f>
        <v>0</v>
      </c>
      <c r="E18" s="77"/>
      <c r="F18" s="32">
        <f>F14</f>
        <v>0</v>
      </c>
      <c r="G18" s="32">
        <f>G14</f>
        <v>10000</v>
      </c>
      <c r="H18" s="32">
        <f t="shared" ref="H18:K18" si="4">H14</f>
        <v>10000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20" t="s">
        <v>321</v>
      </c>
      <c r="B19" s="21">
        <f>B10+B17</f>
        <v>970000</v>
      </c>
      <c r="C19" s="78"/>
      <c r="D19" s="21">
        <f>D10+D17</f>
        <v>0</v>
      </c>
      <c r="E19" s="78"/>
      <c r="F19" s="21">
        <f t="shared" ref="F19:K19" si="5">F10+F17</f>
        <v>80000</v>
      </c>
      <c r="G19" s="21">
        <f t="shared" si="5"/>
        <v>890000</v>
      </c>
      <c r="H19" s="21">
        <f t="shared" si="5"/>
        <v>132400</v>
      </c>
      <c r="I19" s="21">
        <f t="shared" si="5"/>
        <v>757600</v>
      </c>
      <c r="J19" s="21">
        <f t="shared" si="5"/>
        <v>67600</v>
      </c>
      <c r="K19" s="21">
        <f t="shared" si="5"/>
        <v>690000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22" t="s">
        <v>319</v>
      </c>
      <c r="B20" s="23">
        <f>B18+B19</f>
        <v>980000</v>
      </c>
      <c r="C20" s="85"/>
      <c r="D20" s="23">
        <f>D18+D19</f>
        <v>0</v>
      </c>
      <c r="E20" s="85"/>
      <c r="F20" s="23">
        <f>F18+F19</f>
        <v>80000</v>
      </c>
      <c r="G20" s="23">
        <f>G18+G19</f>
        <v>900000</v>
      </c>
      <c r="H20" s="23">
        <f t="shared" ref="H20:K20" si="6">H18+H19</f>
        <v>142400</v>
      </c>
      <c r="I20" s="23">
        <f t="shared" si="6"/>
        <v>757600</v>
      </c>
      <c r="J20" s="23">
        <f t="shared" si="6"/>
        <v>67600</v>
      </c>
      <c r="K20" s="23">
        <f t="shared" si="6"/>
        <v>690000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16"/>
      <c r="B21" s="18"/>
      <c r="C21" s="75"/>
      <c r="D21" s="18"/>
      <c r="E21" s="75"/>
      <c r="F21" s="18"/>
      <c r="G21" s="18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16"/>
      <c r="B22" s="18"/>
      <c r="C22" s="75"/>
      <c r="D22" s="18"/>
      <c r="E22" s="18"/>
      <c r="F22" s="18"/>
      <c r="G22" s="18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16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</sheetData>
  <mergeCells count="4">
    <mergeCell ref="A2:K2"/>
    <mergeCell ref="A3:K3"/>
    <mergeCell ref="A4:K4"/>
    <mergeCell ref="J5:K5"/>
  </mergeCells>
  <pageMargins left="0.62" right="0.19" top="0.31" bottom="0.25" header="0.3" footer="0.25"/>
  <pageSetup paperSize="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757"/>
  <sheetViews>
    <sheetView view="pageBreakPreview" zoomScaleSheetLayoutView="100" workbookViewId="0">
      <selection activeCell="L94" sqref="L94"/>
    </sheetView>
  </sheetViews>
  <sheetFormatPr defaultRowHeight="14.25"/>
  <cols>
    <col min="1" max="1" width="55.375" customWidth="1"/>
    <col min="2" max="2" width="12.75" customWidth="1"/>
    <col min="3" max="3" width="2.25" customWidth="1"/>
    <col min="4" max="4" width="11.625" customWidth="1"/>
    <col min="5" max="5" width="2.25" customWidth="1"/>
    <col min="6" max="6" width="11.25" customWidth="1"/>
    <col min="7" max="7" width="13.625" customWidth="1"/>
    <col min="8" max="8" width="12.625" customWidth="1"/>
    <col min="9" max="9" width="12.25" customWidth="1"/>
    <col min="10" max="10" width="11.875" customWidth="1"/>
    <col min="11" max="11" width="11.625" customWidth="1"/>
  </cols>
  <sheetData>
    <row r="1" spans="1:23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148" t="s">
        <v>9</v>
      </c>
      <c r="K4" s="1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15" t="s">
        <v>10</v>
      </c>
      <c r="K5" s="15" t="s">
        <v>11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47" t="s">
        <v>16</v>
      </c>
      <c r="B6" s="5"/>
      <c r="C6" s="16"/>
      <c r="D6" s="5"/>
      <c r="E6" s="16"/>
      <c r="F6" s="5"/>
      <c r="G6" s="5"/>
      <c r="H6" s="5"/>
      <c r="I6" s="5"/>
      <c r="J6" s="5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16" t="s">
        <v>153</v>
      </c>
      <c r="B7" s="18">
        <v>1216440</v>
      </c>
      <c r="C7" s="75"/>
      <c r="D7" s="18"/>
      <c r="E7" s="75">
        <v>6</v>
      </c>
      <c r="F7" s="18">
        <v>106049.2</v>
      </c>
      <c r="G7" s="18">
        <f>B7+D7-F7</f>
        <v>1110390.8</v>
      </c>
      <c r="H7" s="18">
        <f>G7-I7</f>
        <v>10592.800000000047</v>
      </c>
      <c r="I7" s="18">
        <f>J7</f>
        <v>1099798</v>
      </c>
      <c r="J7" s="18">
        <v>1099798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16" t="s">
        <v>154</v>
      </c>
      <c r="B8" s="18">
        <v>129300</v>
      </c>
      <c r="C8" s="75" t="s">
        <v>382</v>
      </c>
      <c r="D8" s="18">
        <v>79915</v>
      </c>
      <c r="E8" s="75"/>
      <c r="F8" s="18"/>
      <c r="G8" s="18">
        <f>B8+D8-F8</f>
        <v>209215</v>
      </c>
      <c r="H8" s="18">
        <f>G8-I8</f>
        <v>107</v>
      </c>
      <c r="I8" s="18">
        <f>J8</f>
        <v>209108</v>
      </c>
      <c r="J8" s="18">
        <v>209108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16" t="s">
        <v>155</v>
      </c>
      <c r="B9" s="18">
        <v>1066260</v>
      </c>
      <c r="C9" s="75"/>
      <c r="D9" s="18"/>
      <c r="E9" s="75"/>
      <c r="F9" s="18"/>
      <c r="G9" s="18">
        <f t="shared" ref="G9:G10" si="0">B9+D9-F9</f>
        <v>1066260</v>
      </c>
      <c r="H9" s="18">
        <f>G9-I9</f>
        <v>287039</v>
      </c>
      <c r="I9" s="18">
        <f>K9</f>
        <v>779221</v>
      </c>
      <c r="J9" s="18"/>
      <c r="K9" s="18">
        <v>779221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16" t="s">
        <v>156</v>
      </c>
      <c r="B10" s="18">
        <v>59400</v>
      </c>
      <c r="C10" s="75"/>
      <c r="D10" s="18"/>
      <c r="E10" s="75"/>
      <c r="F10" s="18"/>
      <c r="G10" s="18">
        <f t="shared" si="0"/>
        <v>59400</v>
      </c>
      <c r="H10" s="18">
        <f>G10-I10</f>
        <v>7415</v>
      </c>
      <c r="I10" s="18">
        <f>K10</f>
        <v>51985</v>
      </c>
      <c r="J10" s="18"/>
      <c r="K10" s="18">
        <v>51985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35" t="s">
        <v>157</v>
      </c>
      <c r="B11" s="18"/>
      <c r="C11" s="75"/>
      <c r="D11" s="18"/>
      <c r="E11" s="75"/>
      <c r="F11" s="18"/>
      <c r="G11" s="18"/>
      <c r="H11" s="18"/>
      <c r="I11" s="18"/>
      <c r="J11" s="18"/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16" t="s">
        <v>158</v>
      </c>
      <c r="B12" s="18">
        <v>579600</v>
      </c>
      <c r="C12" s="75" t="s">
        <v>382</v>
      </c>
      <c r="D12" s="18">
        <v>115920</v>
      </c>
      <c r="E12" s="75"/>
      <c r="F12" s="18"/>
      <c r="G12" s="18">
        <f>B12+D12-F12</f>
        <v>695520</v>
      </c>
      <c r="H12" s="18">
        <f>G12-I12</f>
        <v>7728</v>
      </c>
      <c r="I12" s="18">
        <f t="shared" ref="I12:I16" si="1">J12</f>
        <v>687792</v>
      </c>
      <c r="J12" s="18">
        <f>685860+1932</f>
        <v>687792</v>
      </c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16" t="s">
        <v>159</v>
      </c>
      <c r="B13" s="18">
        <v>120000</v>
      </c>
      <c r="C13" s="75"/>
      <c r="D13" s="18"/>
      <c r="E13" s="75"/>
      <c r="F13" s="18"/>
      <c r="G13" s="18">
        <f>B13+D13-F13</f>
        <v>120000</v>
      </c>
      <c r="H13" s="18">
        <f t="shared" ref="H13:H16" si="2">G13-I13</f>
        <v>1333</v>
      </c>
      <c r="I13" s="18">
        <f t="shared" si="1"/>
        <v>118667</v>
      </c>
      <c r="J13" s="18">
        <f>118333+334</f>
        <v>118667</v>
      </c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16" t="s">
        <v>160</v>
      </c>
      <c r="B14" s="18">
        <v>120000</v>
      </c>
      <c r="C14" s="75"/>
      <c r="D14" s="18"/>
      <c r="E14" s="75"/>
      <c r="F14" s="18"/>
      <c r="G14" s="18">
        <f>B14+D14-F14</f>
        <v>120000</v>
      </c>
      <c r="H14" s="18">
        <f t="shared" si="2"/>
        <v>1333</v>
      </c>
      <c r="I14" s="18">
        <f t="shared" si="1"/>
        <v>118667</v>
      </c>
      <c r="J14" s="18">
        <f>118333+334</f>
        <v>118667</v>
      </c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16" t="s">
        <v>161</v>
      </c>
      <c r="B15" s="18">
        <v>165600</v>
      </c>
      <c r="C15" s="75" t="s">
        <v>382</v>
      </c>
      <c r="D15" s="18">
        <v>33120</v>
      </c>
      <c r="E15" s="75"/>
      <c r="F15" s="18"/>
      <c r="G15" s="18">
        <f>B15+D15-F15</f>
        <v>198720</v>
      </c>
      <c r="H15" s="18">
        <f t="shared" si="2"/>
        <v>2208</v>
      </c>
      <c r="I15" s="18">
        <f t="shared" si="1"/>
        <v>196512</v>
      </c>
      <c r="J15" s="18">
        <f>195960+552</f>
        <v>196512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16" t="s">
        <v>162</v>
      </c>
      <c r="B16" s="18">
        <v>1242000</v>
      </c>
      <c r="C16" s="75" t="s">
        <v>382</v>
      </c>
      <c r="D16" s="18">
        <v>225029</v>
      </c>
      <c r="E16" s="75"/>
      <c r="F16" s="18"/>
      <c r="G16" s="18">
        <f>B16+D16-F16</f>
        <v>1467029</v>
      </c>
      <c r="H16" s="18">
        <f t="shared" si="2"/>
        <v>16560</v>
      </c>
      <c r="I16" s="18">
        <f t="shared" si="1"/>
        <v>1450469</v>
      </c>
      <c r="J16" s="18">
        <f>1446329+4140</f>
        <v>1450469</v>
      </c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71"/>
      <c r="B17" s="46">
        <f>SUM(B7:B16)</f>
        <v>4698600</v>
      </c>
      <c r="C17" s="86"/>
      <c r="D17" s="46">
        <f>SUM(D7:D16)</f>
        <v>453984</v>
      </c>
      <c r="E17" s="86"/>
      <c r="F17" s="46">
        <f t="shared" ref="F17:K17" si="3">SUM(F7:F16)</f>
        <v>106049.2</v>
      </c>
      <c r="G17" s="46">
        <f t="shared" si="3"/>
        <v>5046534.8</v>
      </c>
      <c r="H17" s="46">
        <f t="shared" si="3"/>
        <v>334315.80000000005</v>
      </c>
      <c r="I17" s="46">
        <f>SUM(I7:I16)</f>
        <v>4712219</v>
      </c>
      <c r="J17" s="46">
        <f>SUM(J7:J16)</f>
        <v>3881013</v>
      </c>
      <c r="K17" s="46">
        <f t="shared" si="3"/>
        <v>831206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35" t="s">
        <v>163</v>
      </c>
      <c r="B18" s="18"/>
      <c r="C18" s="75"/>
      <c r="D18" s="18"/>
      <c r="E18" s="75"/>
      <c r="F18" s="18"/>
      <c r="G18" s="18"/>
      <c r="H18" s="18"/>
      <c r="I18" s="18"/>
      <c r="J18" s="18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16" t="s">
        <v>164</v>
      </c>
      <c r="B19" s="18">
        <v>108720</v>
      </c>
      <c r="C19" s="75"/>
      <c r="D19" s="18"/>
      <c r="E19" s="75"/>
      <c r="F19" s="18"/>
      <c r="G19" s="18">
        <f t="shared" ref="G19:G20" si="4">B19+D19-F19</f>
        <v>108720</v>
      </c>
      <c r="H19" s="18">
        <f t="shared" ref="H19:H20" si="5">G19-I19</f>
        <v>0</v>
      </c>
      <c r="I19" s="18">
        <f t="shared" ref="I19:I20" si="6">J19</f>
        <v>108720</v>
      </c>
      <c r="J19" s="18">
        <v>108720</v>
      </c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16" t="s">
        <v>165</v>
      </c>
      <c r="B20" s="18">
        <v>18000</v>
      </c>
      <c r="C20" s="75"/>
      <c r="D20" s="18"/>
      <c r="E20" s="75"/>
      <c r="F20" s="18"/>
      <c r="G20" s="18">
        <f t="shared" si="4"/>
        <v>18000</v>
      </c>
      <c r="H20" s="18">
        <f t="shared" si="5"/>
        <v>0</v>
      </c>
      <c r="I20" s="18">
        <f t="shared" si="6"/>
        <v>18000</v>
      </c>
      <c r="J20" s="18">
        <v>18000</v>
      </c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31"/>
      <c r="B21" s="32">
        <f>SUM(B19:B20)</f>
        <v>126720</v>
      </c>
      <c r="C21" s="77"/>
      <c r="D21" s="32">
        <f>SUM(D19:D20)</f>
        <v>0</v>
      </c>
      <c r="E21" s="77"/>
      <c r="F21" s="32">
        <f>SUM(F19:F20)</f>
        <v>0</v>
      </c>
      <c r="G21" s="32">
        <f>SUM(G19:G20)</f>
        <v>126720</v>
      </c>
      <c r="H21" s="32">
        <f t="shared" ref="H21:K21" si="7">SUM(H19:H20)</f>
        <v>0</v>
      </c>
      <c r="I21" s="32">
        <f t="shared" si="7"/>
        <v>126720</v>
      </c>
      <c r="J21" s="32">
        <f t="shared" si="7"/>
        <v>126720</v>
      </c>
      <c r="K21" s="32">
        <f t="shared" si="7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35" t="s">
        <v>166</v>
      </c>
      <c r="B22" s="18"/>
      <c r="C22" s="75"/>
      <c r="D22" s="18"/>
      <c r="E22" s="75"/>
      <c r="F22" s="18"/>
      <c r="G22" s="18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16" t="s">
        <v>167</v>
      </c>
      <c r="B23" s="18">
        <v>347280</v>
      </c>
      <c r="C23" s="75" t="s">
        <v>382</v>
      </c>
      <c r="D23" s="18">
        <v>2880</v>
      </c>
      <c r="E23" s="75"/>
      <c r="F23" s="18"/>
      <c r="G23" s="18">
        <f>B23+D23-F23</f>
        <v>350160</v>
      </c>
      <c r="H23" s="18">
        <f t="shared" ref="H23:H24" si="8">G23-I23</f>
        <v>0</v>
      </c>
      <c r="I23" s="18">
        <f t="shared" ref="I23:I24" si="9">J23</f>
        <v>350160</v>
      </c>
      <c r="J23" s="18">
        <v>350160</v>
      </c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16" t="s">
        <v>168</v>
      </c>
      <c r="B24" s="18">
        <v>86400</v>
      </c>
      <c r="C24" s="75" t="s">
        <v>382</v>
      </c>
      <c r="D24" s="18">
        <v>57420</v>
      </c>
      <c r="E24" s="75"/>
      <c r="F24" s="18"/>
      <c r="G24" s="18">
        <f>B24+D24-F24</f>
        <v>143820</v>
      </c>
      <c r="H24" s="18">
        <f t="shared" si="8"/>
        <v>0</v>
      </c>
      <c r="I24" s="18">
        <f t="shared" si="9"/>
        <v>143820</v>
      </c>
      <c r="J24" s="18">
        <v>143820</v>
      </c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16" t="s">
        <v>169</v>
      </c>
      <c r="B25" s="18">
        <v>246360</v>
      </c>
      <c r="C25" s="75" t="s">
        <v>382</v>
      </c>
      <c r="D25" s="18">
        <v>2640</v>
      </c>
      <c r="E25" s="75"/>
      <c r="F25" s="18"/>
      <c r="G25" s="18">
        <f>B25+D25-F25</f>
        <v>249000</v>
      </c>
      <c r="H25" s="18">
        <f>G25-I25</f>
        <v>0</v>
      </c>
      <c r="I25" s="18">
        <f>K25</f>
        <v>249000</v>
      </c>
      <c r="J25" s="18"/>
      <c r="K25" s="18">
        <v>249000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6" t="s">
        <v>170</v>
      </c>
      <c r="B26" s="18">
        <v>71100</v>
      </c>
      <c r="C26" s="75" t="s">
        <v>382</v>
      </c>
      <c r="D26" s="18">
        <v>11880</v>
      </c>
      <c r="E26" s="75"/>
      <c r="F26" s="18"/>
      <c r="G26" s="18">
        <f>B26+D26-F26</f>
        <v>82980</v>
      </c>
      <c r="H26" s="18">
        <f>G26-I26</f>
        <v>0</v>
      </c>
      <c r="I26" s="18">
        <f>K26</f>
        <v>82980</v>
      </c>
      <c r="J26" s="18"/>
      <c r="K26" s="18">
        <v>82980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31"/>
      <c r="B27" s="32">
        <f>SUM(B23:B26)</f>
        <v>751140</v>
      </c>
      <c r="C27" s="77"/>
      <c r="D27" s="32">
        <f>SUM(D23:D26)</f>
        <v>74820</v>
      </c>
      <c r="E27" s="77"/>
      <c r="F27" s="32">
        <f>SUM(F23:F26)</f>
        <v>0</v>
      </c>
      <c r="G27" s="32">
        <f>SUM(G23:G26)</f>
        <v>825960</v>
      </c>
      <c r="H27" s="32">
        <f t="shared" ref="H27" si="10">SUM(H23:H26)</f>
        <v>0</v>
      </c>
      <c r="I27" s="32">
        <f>SUM(I23:I26)</f>
        <v>825960</v>
      </c>
      <c r="J27" s="32">
        <f>SUM(J23:J26)</f>
        <v>493980</v>
      </c>
      <c r="K27" s="32">
        <f>SUM(K23:K26)</f>
        <v>331980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6"/>
      <c r="B28" s="18"/>
      <c r="C28" s="75"/>
      <c r="D28" s="18"/>
      <c r="E28" s="75"/>
      <c r="F28" s="18"/>
      <c r="G28" s="18"/>
      <c r="H28" s="18"/>
      <c r="I28" s="18"/>
      <c r="J28" s="18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27"/>
      <c r="B29" s="8"/>
      <c r="C29" s="79"/>
      <c r="D29" s="10"/>
      <c r="E29" s="79"/>
      <c r="F29" s="10"/>
      <c r="G29" s="12" t="s">
        <v>3</v>
      </c>
      <c r="H29" s="13" t="s">
        <v>7</v>
      </c>
      <c r="I29" s="12" t="s">
        <v>8</v>
      </c>
      <c r="J29" s="148" t="s">
        <v>9</v>
      </c>
      <c r="K29" s="149"/>
      <c r="L29" s="1">
        <v>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28" t="s">
        <v>12</v>
      </c>
      <c r="B30" s="9" t="s">
        <v>3</v>
      </c>
      <c r="C30" s="80"/>
      <c r="D30" s="11" t="s">
        <v>4</v>
      </c>
      <c r="E30" s="80"/>
      <c r="F30" s="11" t="s">
        <v>5</v>
      </c>
      <c r="G30" s="9" t="s">
        <v>6</v>
      </c>
      <c r="H30" s="9" t="s">
        <v>3</v>
      </c>
      <c r="I30" s="14"/>
      <c r="J30" s="47" t="s">
        <v>10</v>
      </c>
      <c r="K30" s="47" t="s">
        <v>11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35" t="s">
        <v>19</v>
      </c>
      <c r="B31" s="18"/>
      <c r="C31" s="75"/>
      <c r="D31" s="18"/>
      <c r="E31" s="75"/>
      <c r="F31" s="18"/>
      <c r="G31" s="18"/>
      <c r="H31" s="18"/>
      <c r="I31" s="18"/>
      <c r="J31" s="18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16" t="s">
        <v>171</v>
      </c>
      <c r="B32" s="18">
        <v>5000</v>
      </c>
      <c r="C32" s="75"/>
      <c r="D32" s="18"/>
      <c r="E32" s="75"/>
      <c r="F32" s="18"/>
      <c r="G32" s="18">
        <f>B32+D32-F32</f>
        <v>5000</v>
      </c>
      <c r="H32" s="18">
        <f>G32</f>
        <v>5000</v>
      </c>
      <c r="I32" s="101" t="str">
        <f t="shared" ref="I32:I37" si="11">J32</f>
        <v>-</v>
      </c>
      <c r="J32" s="101" t="s">
        <v>394</v>
      </c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6" t="s">
        <v>172</v>
      </c>
      <c r="B33" s="18">
        <v>900000</v>
      </c>
      <c r="C33" s="75"/>
      <c r="D33" s="18"/>
      <c r="E33" s="75" t="s">
        <v>382</v>
      </c>
      <c r="F33" s="18">
        <v>900000</v>
      </c>
      <c r="G33" s="18">
        <f>B33+D33-F33</f>
        <v>0</v>
      </c>
      <c r="H33" s="101" t="s">
        <v>394</v>
      </c>
      <c r="I33" s="101" t="str">
        <f t="shared" si="11"/>
        <v>-</v>
      </c>
      <c r="J33" s="101" t="s">
        <v>394</v>
      </c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6" t="s">
        <v>173</v>
      </c>
      <c r="B34" s="18">
        <v>10000</v>
      </c>
      <c r="C34" s="75"/>
      <c r="D34" s="18"/>
      <c r="E34" s="75"/>
      <c r="F34" s="18"/>
      <c r="G34" s="18">
        <f>B34+D34-F34</f>
        <v>10000</v>
      </c>
      <c r="H34" s="18">
        <f>G34</f>
        <v>10000</v>
      </c>
      <c r="I34" s="101" t="str">
        <f t="shared" si="11"/>
        <v>-</v>
      </c>
      <c r="J34" s="101" t="s">
        <v>394</v>
      </c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6" t="s">
        <v>174</v>
      </c>
      <c r="B35" s="18">
        <v>10000</v>
      </c>
      <c r="C35" s="75"/>
      <c r="D35" s="18"/>
      <c r="E35" s="75"/>
      <c r="F35" s="18"/>
      <c r="G35" s="18">
        <f>B35+D35-F35</f>
        <v>10000</v>
      </c>
      <c r="H35" s="18">
        <f>G35-I35</f>
        <v>8400</v>
      </c>
      <c r="I35" s="18">
        <f t="shared" si="11"/>
        <v>1600</v>
      </c>
      <c r="J35" s="18">
        <v>1600</v>
      </c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6" t="s">
        <v>175</v>
      </c>
      <c r="B36" s="18">
        <v>50000</v>
      </c>
      <c r="C36" s="75" t="s">
        <v>382</v>
      </c>
      <c r="D36" s="18">
        <v>85000</v>
      </c>
      <c r="E36" s="75"/>
      <c r="F36" s="18"/>
      <c r="G36" s="18">
        <f>B36+D36-F36</f>
        <v>135000</v>
      </c>
      <c r="H36" s="18">
        <f>G36-I36</f>
        <v>195</v>
      </c>
      <c r="I36" s="18">
        <f t="shared" si="11"/>
        <v>134805</v>
      </c>
      <c r="J36" s="18">
        <v>134805</v>
      </c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16" t="s">
        <v>176</v>
      </c>
      <c r="B37" s="18">
        <v>36000</v>
      </c>
      <c r="C37" s="75"/>
      <c r="D37" s="18"/>
      <c r="E37" s="75"/>
      <c r="F37" s="18"/>
      <c r="G37" s="18">
        <f t="shared" ref="G37:G41" si="12">B37+D37-F37</f>
        <v>36000</v>
      </c>
      <c r="H37" s="18">
        <f>G37-I37</f>
        <v>36000</v>
      </c>
      <c r="I37" s="18">
        <f t="shared" si="11"/>
        <v>0</v>
      </c>
      <c r="J37" s="18">
        <f>27000-27000</f>
        <v>0</v>
      </c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16" t="s">
        <v>177</v>
      </c>
      <c r="B38" s="18">
        <v>50000</v>
      </c>
      <c r="C38" s="75"/>
      <c r="D38" s="18"/>
      <c r="E38" s="75"/>
      <c r="F38" s="18"/>
      <c r="G38" s="18">
        <f t="shared" si="12"/>
        <v>50000</v>
      </c>
      <c r="H38" s="18">
        <f>G38</f>
        <v>50000</v>
      </c>
      <c r="I38" s="101" t="s">
        <v>394</v>
      </c>
      <c r="J38" s="101" t="s">
        <v>394</v>
      </c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6" t="s">
        <v>178</v>
      </c>
      <c r="B39" s="18">
        <v>65000</v>
      </c>
      <c r="C39" s="75"/>
      <c r="D39" s="18"/>
      <c r="E39" s="75"/>
      <c r="F39" s="18"/>
      <c r="G39" s="18">
        <f t="shared" si="12"/>
        <v>65000</v>
      </c>
      <c r="H39" s="18">
        <f>G39-I39</f>
        <v>34700</v>
      </c>
      <c r="I39" s="18">
        <f>K39</f>
        <v>30300</v>
      </c>
      <c r="J39" s="18"/>
      <c r="K39" s="18">
        <v>30300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16" t="s">
        <v>179</v>
      </c>
      <c r="B40" s="18">
        <v>30000</v>
      </c>
      <c r="C40" s="75"/>
      <c r="D40" s="18"/>
      <c r="E40" s="75"/>
      <c r="F40" s="18"/>
      <c r="G40" s="18">
        <f t="shared" si="12"/>
        <v>30000</v>
      </c>
      <c r="H40" s="18">
        <f>G40-I40</f>
        <v>25780</v>
      </c>
      <c r="I40" s="18">
        <f>K40</f>
        <v>4220</v>
      </c>
      <c r="J40" s="18"/>
      <c r="K40" s="18">
        <v>4220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16" t="s">
        <v>180</v>
      </c>
      <c r="B41" s="18">
        <v>19200</v>
      </c>
      <c r="C41" s="75"/>
      <c r="D41" s="18"/>
      <c r="E41" s="75"/>
      <c r="F41" s="18"/>
      <c r="G41" s="18">
        <f t="shared" si="12"/>
        <v>19200</v>
      </c>
      <c r="H41" s="18">
        <f>G41-I41</f>
        <v>1250</v>
      </c>
      <c r="I41" s="18">
        <f>K41</f>
        <v>17950</v>
      </c>
      <c r="J41" s="18"/>
      <c r="K41" s="18">
        <v>17950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31"/>
      <c r="B42" s="32">
        <f>SUM(B32:B41)</f>
        <v>1175200</v>
      </c>
      <c r="C42" s="77"/>
      <c r="D42" s="32">
        <f>SUM(D32:D41)</f>
        <v>85000</v>
      </c>
      <c r="E42" s="77"/>
      <c r="F42" s="32">
        <f t="shared" ref="F42:K42" si="13">SUM(F32:F41)</f>
        <v>900000</v>
      </c>
      <c r="G42" s="32">
        <f t="shared" si="13"/>
        <v>360200</v>
      </c>
      <c r="H42" s="32">
        <f t="shared" si="13"/>
        <v>171325</v>
      </c>
      <c r="I42" s="32">
        <f t="shared" si="13"/>
        <v>188875</v>
      </c>
      <c r="J42" s="32">
        <f>SUM(J32:J41)</f>
        <v>136405</v>
      </c>
      <c r="K42" s="32">
        <f t="shared" si="13"/>
        <v>52470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35" t="s">
        <v>42</v>
      </c>
      <c r="B43" s="18"/>
      <c r="C43" s="75"/>
      <c r="D43" s="18"/>
      <c r="E43" s="75"/>
      <c r="F43" s="18"/>
      <c r="G43" s="18"/>
      <c r="H43" s="18"/>
      <c r="I43" s="18"/>
      <c r="J43" s="18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6" t="s">
        <v>181</v>
      </c>
      <c r="B44" s="18">
        <v>240000</v>
      </c>
      <c r="C44" s="75"/>
      <c r="D44" s="18"/>
      <c r="E44" s="75"/>
      <c r="F44" s="18"/>
      <c r="G44" s="18">
        <f t="shared" ref="G44:G45" si="14">B44+D44-F44</f>
        <v>240000</v>
      </c>
      <c r="H44" s="18">
        <f t="shared" ref="H44:H50" si="15">G44-I44</f>
        <v>11164</v>
      </c>
      <c r="I44" s="18">
        <f>J44</f>
        <v>228836</v>
      </c>
      <c r="J44" s="18">
        <v>228836</v>
      </c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6" t="s">
        <v>182</v>
      </c>
      <c r="B45" s="18">
        <v>72000</v>
      </c>
      <c r="C45" s="75"/>
      <c r="D45" s="18"/>
      <c r="E45" s="75"/>
      <c r="F45" s="18"/>
      <c r="G45" s="18">
        <f t="shared" si="14"/>
        <v>72000</v>
      </c>
      <c r="H45" s="18">
        <f t="shared" si="15"/>
        <v>0</v>
      </c>
      <c r="I45" s="18">
        <f>J45</f>
        <v>72000</v>
      </c>
      <c r="J45" s="18">
        <v>72000</v>
      </c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6" t="s">
        <v>377</v>
      </c>
      <c r="B46" s="18"/>
      <c r="C46" s="94" t="s">
        <v>385</v>
      </c>
      <c r="D46" s="18">
        <f>42600+12400</f>
        <v>55000</v>
      </c>
      <c r="E46" s="75"/>
      <c r="F46" s="18"/>
      <c r="G46" s="18">
        <f>B46+D46-F46</f>
        <v>55000</v>
      </c>
      <c r="H46" s="18">
        <f t="shared" si="15"/>
        <v>0</v>
      </c>
      <c r="I46" s="18">
        <f>J46</f>
        <v>55000</v>
      </c>
      <c r="J46" s="18">
        <v>55000</v>
      </c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16" t="s">
        <v>186</v>
      </c>
      <c r="B47" s="18">
        <v>10000</v>
      </c>
      <c r="C47" s="75"/>
      <c r="D47" s="18"/>
      <c r="E47" s="75"/>
      <c r="F47" s="18"/>
      <c r="G47" s="18">
        <f>B47+D47-F47</f>
        <v>10000</v>
      </c>
      <c r="H47" s="18">
        <f t="shared" si="15"/>
        <v>9700</v>
      </c>
      <c r="I47" s="18">
        <f>K47</f>
        <v>300</v>
      </c>
      <c r="J47" s="18"/>
      <c r="K47" s="18">
        <f>1568-1268</f>
        <v>300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16" t="s">
        <v>183</v>
      </c>
      <c r="B48" s="18">
        <v>60000</v>
      </c>
      <c r="C48" s="75">
        <v>1</v>
      </c>
      <c r="D48" s="18">
        <v>5500</v>
      </c>
      <c r="E48" s="75"/>
      <c r="F48" s="18"/>
      <c r="G48" s="18">
        <f>B48+D48-F48</f>
        <v>65500</v>
      </c>
      <c r="H48" s="18">
        <f t="shared" si="15"/>
        <v>0</v>
      </c>
      <c r="I48" s="18">
        <f>K48</f>
        <v>65500</v>
      </c>
      <c r="J48" s="18"/>
      <c r="K48" s="18">
        <v>65500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6" t="s">
        <v>184</v>
      </c>
      <c r="B49" s="18">
        <v>370000</v>
      </c>
      <c r="C49" s="75"/>
      <c r="D49" s="18"/>
      <c r="E49" s="75"/>
      <c r="F49" s="18"/>
      <c r="G49" s="18">
        <f t="shared" ref="G49:G50" si="16">B49+D49-F49</f>
        <v>370000</v>
      </c>
      <c r="H49" s="18">
        <f t="shared" si="15"/>
        <v>70899.849999999977</v>
      </c>
      <c r="I49" s="18">
        <f>K49</f>
        <v>299100.15000000002</v>
      </c>
      <c r="J49" s="18"/>
      <c r="K49" s="18">
        <v>299100.15000000002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6" t="s">
        <v>185</v>
      </c>
      <c r="B50" s="18">
        <v>60000</v>
      </c>
      <c r="C50" s="75"/>
      <c r="D50" s="18"/>
      <c r="E50" s="75"/>
      <c r="F50" s="18"/>
      <c r="G50" s="18">
        <f t="shared" si="16"/>
        <v>60000</v>
      </c>
      <c r="H50" s="18">
        <f t="shared" si="15"/>
        <v>15667</v>
      </c>
      <c r="I50" s="18">
        <f>K50</f>
        <v>44333</v>
      </c>
      <c r="J50" s="18"/>
      <c r="K50" s="18">
        <v>44333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71"/>
      <c r="B51" s="46">
        <f>SUM(B44:B50)</f>
        <v>812000</v>
      </c>
      <c r="C51" s="86"/>
      <c r="D51" s="46">
        <f>SUM(D44:D50)</f>
        <v>60500</v>
      </c>
      <c r="E51" s="86"/>
      <c r="F51" s="46">
        <f t="shared" ref="F51:K51" si="17">SUM(F44:F50)</f>
        <v>0</v>
      </c>
      <c r="G51" s="46">
        <f t="shared" si="17"/>
        <v>872500</v>
      </c>
      <c r="H51" s="46">
        <f t="shared" si="17"/>
        <v>107430.84999999998</v>
      </c>
      <c r="I51" s="46">
        <f t="shared" si="17"/>
        <v>765069.15</v>
      </c>
      <c r="J51" s="46">
        <f t="shared" si="17"/>
        <v>355836</v>
      </c>
      <c r="K51" s="46">
        <f t="shared" si="17"/>
        <v>409233.15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35" t="s">
        <v>187</v>
      </c>
      <c r="B52" s="18"/>
      <c r="C52" s="75"/>
      <c r="D52" s="18"/>
      <c r="E52" s="75"/>
      <c r="F52" s="18"/>
      <c r="G52" s="18"/>
      <c r="H52" s="18"/>
      <c r="I52" s="18"/>
      <c r="J52" s="18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16" t="s">
        <v>188</v>
      </c>
      <c r="B53" s="18">
        <v>100000</v>
      </c>
      <c r="C53" s="75" t="s">
        <v>382</v>
      </c>
      <c r="D53" s="18">
        <v>4000</v>
      </c>
      <c r="E53" s="75" t="s">
        <v>334</v>
      </c>
      <c r="F53" s="18">
        <v>13500</v>
      </c>
      <c r="G53" s="18">
        <f t="shared" ref="G53:G60" si="18">B53+D53-F53</f>
        <v>90500</v>
      </c>
      <c r="H53" s="18">
        <f>G53-I53</f>
        <v>2211</v>
      </c>
      <c r="I53" s="18">
        <f>J53</f>
        <v>88289</v>
      </c>
      <c r="J53" s="18">
        <v>88289</v>
      </c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16" t="s">
        <v>189</v>
      </c>
      <c r="B54" s="18">
        <v>5000</v>
      </c>
      <c r="C54" s="75"/>
      <c r="D54" s="18"/>
      <c r="E54" s="75" t="s">
        <v>361</v>
      </c>
      <c r="F54" s="18">
        <v>4300</v>
      </c>
      <c r="G54" s="18">
        <f t="shared" si="18"/>
        <v>700</v>
      </c>
      <c r="H54" s="18">
        <f>G54</f>
        <v>700</v>
      </c>
      <c r="I54" s="101" t="s">
        <v>394</v>
      </c>
      <c r="J54" s="101" t="s">
        <v>394</v>
      </c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16" t="s">
        <v>190</v>
      </c>
      <c r="B55" s="18">
        <v>30000</v>
      </c>
      <c r="C55" s="75" t="s">
        <v>382</v>
      </c>
      <c r="D55" s="18">
        <v>6500</v>
      </c>
      <c r="E55" s="75"/>
      <c r="F55" s="18"/>
      <c r="G55" s="18">
        <f t="shared" si="18"/>
        <v>36500</v>
      </c>
      <c r="H55" s="18">
        <f>G55-I55</f>
        <v>1280</v>
      </c>
      <c r="I55" s="18">
        <f>J55</f>
        <v>35220</v>
      </c>
      <c r="J55" s="18">
        <v>35220</v>
      </c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6" t="s">
        <v>191</v>
      </c>
      <c r="B56" s="18">
        <v>20000</v>
      </c>
      <c r="C56" s="75" t="s">
        <v>382</v>
      </c>
      <c r="D56" s="18">
        <v>10000</v>
      </c>
      <c r="E56" s="75"/>
      <c r="F56" s="18"/>
      <c r="G56" s="18">
        <f t="shared" si="18"/>
        <v>30000</v>
      </c>
      <c r="H56" s="18">
        <f>G56-I56</f>
        <v>0</v>
      </c>
      <c r="I56" s="18">
        <f>J56</f>
        <v>30000</v>
      </c>
      <c r="J56" s="18">
        <v>30000</v>
      </c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6" t="s">
        <v>192</v>
      </c>
      <c r="B57" s="18">
        <v>5000</v>
      </c>
      <c r="C57" s="75"/>
      <c r="D57" s="18"/>
      <c r="E57" s="75"/>
      <c r="F57" s="18"/>
      <c r="G57" s="18">
        <f t="shared" si="18"/>
        <v>5000</v>
      </c>
      <c r="H57" s="18">
        <f>G57</f>
        <v>5000</v>
      </c>
      <c r="I57" s="101" t="s">
        <v>394</v>
      </c>
      <c r="J57" s="101" t="s">
        <v>394</v>
      </c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6" t="s">
        <v>193</v>
      </c>
      <c r="B58" s="18">
        <v>100000</v>
      </c>
      <c r="C58" s="75" t="s">
        <v>346</v>
      </c>
      <c r="D58" s="18">
        <v>200000</v>
      </c>
      <c r="E58" s="75" t="s">
        <v>382</v>
      </c>
      <c r="F58" s="18">
        <v>20500</v>
      </c>
      <c r="G58" s="18">
        <f t="shared" si="18"/>
        <v>279500</v>
      </c>
      <c r="H58" s="18">
        <f>G58-I58</f>
        <v>14912.659999999974</v>
      </c>
      <c r="I58" s="101">
        <f>J58</f>
        <v>264587.34000000003</v>
      </c>
      <c r="J58" s="18">
        <v>264587.34000000003</v>
      </c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6" t="s">
        <v>333</v>
      </c>
      <c r="B59" s="18">
        <v>70000</v>
      </c>
      <c r="C59" s="75"/>
      <c r="D59" s="18"/>
      <c r="E59" s="75"/>
      <c r="F59" s="18"/>
      <c r="G59" s="18">
        <f t="shared" si="18"/>
        <v>70000</v>
      </c>
      <c r="H59" s="18">
        <f>G59-I59</f>
        <v>47300</v>
      </c>
      <c r="I59" s="18">
        <f>K59</f>
        <v>22700</v>
      </c>
      <c r="J59" s="18"/>
      <c r="K59" s="18">
        <v>22700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6" t="s">
        <v>194</v>
      </c>
      <c r="B60" s="18">
        <v>50000</v>
      </c>
      <c r="C60" s="75"/>
      <c r="D60" s="18"/>
      <c r="E60" s="75" t="s">
        <v>361</v>
      </c>
      <c r="F60" s="18">
        <v>25000</v>
      </c>
      <c r="G60" s="18">
        <f t="shared" si="18"/>
        <v>25000</v>
      </c>
      <c r="H60" s="18">
        <f>G60-I60</f>
        <v>8400</v>
      </c>
      <c r="I60" s="18">
        <f>K60</f>
        <v>16600</v>
      </c>
      <c r="J60" s="18"/>
      <c r="K60" s="18">
        <v>16600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20"/>
      <c r="B61" s="21">
        <f>SUM(B53:B60)</f>
        <v>380000</v>
      </c>
      <c r="C61" s="78"/>
      <c r="D61" s="21">
        <f>SUM(D53:D60)</f>
        <v>220500</v>
      </c>
      <c r="E61" s="78"/>
      <c r="F61" s="21">
        <f>SUM(F53:F60)</f>
        <v>63300</v>
      </c>
      <c r="G61" s="21">
        <f>SUM(G53:G60)</f>
        <v>537200</v>
      </c>
      <c r="H61" s="21">
        <f>SUM(H53:H60)</f>
        <v>79803.659999999974</v>
      </c>
      <c r="I61" s="21">
        <f t="shared" ref="I61:K61" si="19">SUM(I53:I60)</f>
        <v>457396.34</v>
      </c>
      <c r="J61" s="21">
        <f t="shared" si="19"/>
        <v>418096.34</v>
      </c>
      <c r="K61" s="21">
        <f t="shared" si="19"/>
        <v>39300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27"/>
      <c r="B62" s="62"/>
      <c r="C62" s="87"/>
      <c r="D62" s="64"/>
      <c r="E62" s="87"/>
      <c r="F62" s="64"/>
      <c r="G62" s="65" t="s">
        <v>3</v>
      </c>
      <c r="H62" s="65" t="s">
        <v>7</v>
      </c>
      <c r="I62" s="65" t="s">
        <v>8</v>
      </c>
      <c r="J62" s="150" t="s">
        <v>9</v>
      </c>
      <c r="K62" s="151"/>
      <c r="L62" s="1">
        <v>5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28" t="s">
        <v>12</v>
      </c>
      <c r="B63" s="57" t="s">
        <v>3</v>
      </c>
      <c r="C63" s="88"/>
      <c r="D63" s="58" t="s">
        <v>4</v>
      </c>
      <c r="E63" s="88"/>
      <c r="F63" s="58" t="s">
        <v>5</v>
      </c>
      <c r="G63" s="57" t="s">
        <v>6</v>
      </c>
      <c r="H63" s="57" t="s">
        <v>3</v>
      </c>
      <c r="I63" s="67"/>
      <c r="J63" s="68" t="s">
        <v>10</v>
      </c>
      <c r="K63" s="68" t="s">
        <v>11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35" t="s">
        <v>195</v>
      </c>
      <c r="B64" s="18"/>
      <c r="C64" s="75"/>
      <c r="D64" s="18"/>
      <c r="E64" s="75"/>
      <c r="F64" s="18"/>
      <c r="G64" s="18"/>
      <c r="H64" s="18"/>
      <c r="I64" s="18"/>
      <c r="J64" s="18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6" t="s">
        <v>196</v>
      </c>
      <c r="B65" s="18">
        <v>10000</v>
      </c>
      <c r="C65" s="75"/>
      <c r="D65" s="18"/>
      <c r="E65" s="75"/>
      <c r="F65" s="18"/>
      <c r="G65" s="18">
        <f t="shared" ref="G65:G70" si="20">B65+D65-F65</f>
        <v>10000</v>
      </c>
      <c r="H65" s="18">
        <f>G65</f>
        <v>10000</v>
      </c>
      <c r="I65" s="101" t="s">
        <v>394</v>
      </c>
      <c r="J65" s="101" t="s">
        <v>394</v>
      </c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6" t="s">
        <v>197</v>
      </c>
      <c r="B66" s="18">
        <v>50000</v>
      </c>
      <c r="C66" s="75"/>
      <c r="D66" s="18"/>
      <c r="E66" s="75"/>
      <c r="F66" s="18"/>
      <c r="G66" s="18">
        <f t="shared" si="20"/>
        <v>50000</v>
      </c>
      <c r="H66" s="18">
        <f>G66-I66</f>
        <v>3737.7099999999991</v>
      </c>
      <c r="I66" s="18">
        <f>J66</f>
        <v>46262.29</v>
      </c>
      <c r="J66" s="18">
        <v>46262.29</v>
      </c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6" t="s">
        <v>198</v>
      </c>
      <c r="B67" s="18">
        <v>50000</v>
      </c>
      <c r="C67" s="75"/>
      <c r="D67" s="18"/>
      <c r="E67" s="75"/>
      <c r="F67" s="18"/>
      <c r="G67" s="18">
        <f t="shared" si="20"/>
        <v>50000</v>
      </c>
      <c r="H67" s="18">
        <f>G67-I67</f>
        <v>0</v>
      </c>
      <c r="I67" s="18">
        <f>J67</f>
        <v>50000</v>
      </c>
      <c r="J67" s="18">
        <v>50000</v>
      </c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6" t="s">
        <v>199</v>
      </c>
      <c r="B68" s="18">
        <v>10000</v>
      </c>
      <c r="C68" s="75"/>
      <c r="D68" s="18"/>
      <c r="E68" s="75"/>
      <c r="F68" s="18"/>
      <c r="G68" s="18">
        <f t="shared" si="20"/>
        <v>10000</v>
      </c>
      <c r="H68" s="18">
        <f>G68</f>
        <v>10000</v>
      </c>
      <c r="I68" s="101" t="s">
        <v>394</v>
      </c>
      <c r="J68" s="101" t="s">
        <v>394</v>
      </c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16" t="s">
        <v>200</v>
      </c>
      <c r="B69" s="18">
        <v>30000</v>
      </c>
      <c r="C69" s="75"/>
      <c r="D69" s="18"/>
      <c r="E69" s="75"/>
      <c r="F69" s="18"/>
      <c r="G69" s="18">
        <f t="shared" si="20"/>
        <v>30000</v>
      </c>
      <c r="H69" s="18">
        <f>G69-I69</f>
        <v>1292</v>
      </c>
      <c r="I69" s="18">
        <f>J69</f>
        <v>28708</v>
      </c>
      <c r="J69" s="18">
        <v>28708</v>
      </c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6" t="s">
        <v>201</v>
      </c>
      <c r="B70" s="18">
        <v>50000</v>
      </c>
      <c r="C70" s="75"/>
      <c r="D70" s="18"/>
      <c r="E70" s="75"/>
      <c r="F70" s="18"/>
      <c r="G70" s="18">
        <f t="shared" si="20"/>
        <v>50000</v>
      </c>
      <c r="H70" s="18">
        <f>G70-I70</f>
        <v>33569</v>
      </c>
      <c r="I70" s="18">
        <f>K70</f>
        <v>16431</v>
      </c>
      <c r="J70" s="18"/>
      <c r="K70" s="18">
        <v>16431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6" t="s">
        <v>202</v>
      </c>
      <c r="B71" s="18">
        <v>93767</v>
      </c>
      <c r="C71" s="75" t="s">
        <v>361</v>
      </c>
      <c r="D71" s="18">
        <v>25000</v>
      </c>
      <c r="E71" s="75"/>
      <c r="F71" s="18"/>
      <c r="G71" s="18">
        <f>B71+D71-F71</f>
        <v>118767</v>
      </c>
      <c r="H71" s="18">
        <f>G71-I71</f>
        <v>2799.9100000000035</v>
      </c>
      <c r="I71" s="18">
        <f>K71</f>
        <v>115967.09</v>
      </c>
      <c r="J71" s="18"/>
      <c r="K71" s="18">
        <v>115967.09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20"/>
      <c r="B72" s="21">
        <f>SUM(B65:B71)</f>
        <v>293767</v>
      </c>
      <c r="C72" s="78"/>
      <c r="D72" s="21">
        <f>SUM(D65:D71)</f>
        <v>25000</v>
      </c>
      <c r="E72" s="78"/>
      <c r="F72" s="21">
        <f t="shared" ref="F72:K72" si="21">SUM(F65:F71)</f>
        <v>0</v>
      </c>
      <c r="G72" s="21">
        <f t="shared" si="21"/>
        <v>318767</v>
      </c>
      <c r="H72" s="21">
        <f t="shared" si="21"/>
        <v>61398.62</v>
      </c>
      <c r="I72" s="21">
        <f>SUM(I65:I71)</f>
        <v>257368.38</v>
      </c>
      <c r="J72" s="21">
        <f>SUM(J65:J71)</f>
        <v>124970.29000000001</v>
      </c>
      <c r="K72" s="21">
        <f t="shared" si="21"/>
        <v>132398.09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35" t="s">
        <v>203</v>
      </c>
      <c r="B73" s="18"/>
      <c r="C73" s="75"/>
      <c r="D73" s="18"/>
      <c r="E73" s="75"/>
      <c r="F73" s="18"/>
      <c r="G73" s="18"/>
      <c r="H73" s="18"/>
      <c r="I73" s="18"/>
      <c r="J73" s="18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6" t="s">
        <v>204</v>
      </c>
      <c r="B74" s="18">
        <v>200000</v>
      </c>
      <c r="C74" s="75"/>
      <c r="D74" s="18"/>
      <c r="E74" s="75"/>
      <c r="F74" s="18"/>
      <c r="G74" s="18">
        <f>B74+D74-F74</f>
        <v>200000</v>
      </c>
      <c r="H74" s="18">
        <f>G74-I74</f>
        <v>18298.600000000006</v>
      </c>
      <c r="I74" s="18">
        <f>J74</f>
        <v>181701.4</v>
      </c>
      <c r="J74" s="18">
        <v>181701.4</v>
      </c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31"/>
      <c r="B75" s="32">
        <f>SUM(B74)</f>
        <v>200000</v>
      </c>
      <c r="C75" s="77"/>
      <c r="D75" s="32">
        <f>SUM(D74)</f>
        <v>0</v>
      </c>
      <c r="E75" s="77"/>
      <c r="F75" s="32">
        <f>SUM(F74)</f>
        <v>0</v>
      </c>
      <c r="G75" s="32">
        <f>SUM(G74)</f>
        <v>200000</v>
      </c>
      <c r="H75" s="32">
        <f t="shared" ref="H75:K75" si="22">SUM(H74)</f>
        <v>18298.600000000006</v>
      </c>
      <c r="I75" s="32">
        <f t="shared" si="22"/>
        <v>181701.4</v>
      </c>
      <c r="J75" s="32">
        <f t="shared" si="22"/>
        <v>181701.4</v>
      </c>
      <c r="K75" s="32">
        <f t="shared" si="22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35" t="s">
        <v>205</v>
      </c>
      <c r="B76" s="18"/>
      <c r="C76" s="75"/>
      <c r="D76" s="18"/>
      <c r="E76" s="75"/>
      <c r="F76" s="18"/>
      <c r="G76" s="18"/>
      <c r="H76" s="18"/>
      <c r="I76" s="18"/>
      <c r="J76" s="18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6" t="s">
        <v>208</v>
      </c>
      <c r="B77" s="18">
        <v>300000</v>
      </c>
      <c r="C77" s="75"/>
      <c r="D77" s="18"/>
      <c r="E77" s="75"/>
      <c r="F77" s="18"/>
      <c r="G77" s="18">
        <f t="shared" ref="G77:G80" si="23">B77+D77-F77</f>
        <v>300000</v>
      </c>
      <c r="H77" s="18">
        <f>G77-I77</f>
        <v>28890.929999999993</v>
      </c>
      <c r="I77" s="18">
        <f>J77</f>
        <v>271109.07</v>
      </c>
      <c r="J77" s="18">
        <v>271109.07</v>
      </c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6" t="s">
        <v>209</v>
      </c>
      <c r="B78" s="18">
        <v>15000</v>
      </c>
      <c r="C78" s="75"/>
      <c r="D78" s="18"/>
      <c r="E78" s="75"/>
      <c r="F78" s="18"/>
      <c r="G78" s="18">
        <f t="shared" si="23"/>
        <v>15000</v>
      </c>
      <c r="H78" s="18">
        <f>G78-I78</f>
        <v>3707.2199999999993</v>
      </c>
      <c r="I78" s="18">
        <f>J78</f>
        <v>11292.78</v>
      </c>
      <c r="J78" s="18">
        <v>11292.78</v>
      </c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6" t="s">
        <v>210</v>
      </c>
      <c r="B79" s="18">
        <v>13000</v>
      </c>
      <c r="C79" s="75"/>
      <c r="D79" s="18"/>
      <c r="E79" s="75"/>
      <c r="F79" s="18"/>
      <c r="G79" s="18">
        <f t="shared" si="23"/>
        <v>13000</v>
      </c>
      <c r="H79" s="18">
        <f>G79-I79</f>
        <v>498.84000000000015</v>
      </c>
      <c r="I79" s="18">
        <f>J79</f>
        <v>12501.16</v>
      </c>
      <c r="J79" s="18">
        <v>12501.16</v>
      </c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6" t="s">
        <v>211</v>
      </c>
      <c r="B80" s="18">
        <v>10000</v>
      </c>
      <c r="C80" s="75"/>
      <c r="D80" s="18"/>
      <c r="E80" s="75"/>
      <c r="F80" s="18"/>
      <c r="G80" s="18">
        <f t="shared" si="23"/>
        <v>10000</v>
      </c>
      <c r="H80" s="18">
        <f>G80-I80</f>
        <v>3578</v>
      </c>
      <c r="I80" s="18">
        <f>K80</f>
        <v>6422</v>
      </c>
      <c r="J80" s="18"/>
      <c r="K80" s="18">
        <f>5154+1268</f>
        <v>6422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31"/>
      <c r="B81" s="32">
        <f>SUM(B77:B80)</f>
        <v>338000</v>
      </c>
      <c r="C81" s="77"/>
      <c r="D81" s="32">
        <f>SUM(D77:D80)</f>
        <v>0</v>
      </c>
      <c r="E81" s="77"/>
      <c r="F81" s="32">
        <f>SUM(F77:F80)</f>
        <v>0</v>
      </c>
      <c r="G81" s="32">
        <f>SUM(G77:G80)</f>
        <v>338000</v>
      </c>
      <c r="H81" s="32">
        <f t="shared" ref="H81:K81" si="24">SUM(H77:H80)</f>
        <v>36674.989999999991</v>
      </c>
      <c r="I81" s="32">
        <f t="shared" si="24"/>
        <v>301325.01</v>
      </c>
      <c r="J81" s="32">
        <f t="shared" si="24"/>
        <v>294903.01</v>
      </c>
      <c r="K81" s="32">
        <f t="shared" si="24"/>
        <v>6422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35" t="s">
        <v>212</v>
      </c>
      <c r="B82" s="18"/>
      <c r="C82" s="75"/>
      <c r="D82" s="18"/>
      <c r="E82" s="75"/>
      <c r="F82" s="18"/>
      <c r="G82" s="18"/>
      <c r="H82" s="18"/>
      <c r="I82" s="18"/>
      <c r="J82" s="18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6" t="s">
        <v>213</v>
      </c>
      <c r="B83" s="18"/>
      <c r="C83" s="75"/>
      <c r="D83" s="18"/>
      <c r="E83" s="75"/>
      <c r="F83" s="18"/>
      <c r="G83" s="18"/>
      <c r="H83" s="18"/>
      <c r="I83" s="18"/>
      <c r="J83" s="18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6" t="s">
        <v>214</v>
      </c>
      <c r="B84" s="18">
        <v>8000</v>
      </c>
      <c r="C84" s="75"/>
      <c r="D84" s="18"/>
      <c r="E84" s="75"/>
      <c r="F84" s="18"/>
      <c r="G84" s="18">
        <f>B84+D84-F84</f>
        <v>8000</v>
      </c>
      <c r="H84" s="18">
        <f>G84</f>
        <v>8000</v>
      </c>
      <c r="I84" s="101" t="s">
        <v>394</v>
      </c>
      <c r="J84" s="101" t="s">
        <v>394</v>
      </c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31"/>
      <c r="B85" s="32">
        <f>SUM(B84)</f>
        <v>8000</v>
      </c>
      <c r="C85" s="77"/>
      <c r="D85" s="32">
        <f>SUM(D84)</f>
        <v>0</v>
      </c>
      <c r="E85" s="77"/>
      <c r="F85" s="32">
        <f>SUM(F84)</f>
        <v>0</v>
      </c>
      <c r="G85" s="32">
        <f>SUM(G84)</f>
        <v>8000</v>
      </c>
      <c r="H85" s="32">
        <f t="shared" ref="H85:K85" si="25">SUM(H84)</f>
        <v>8000</v>
      </c>
      <c r="I85" s="32">
        <f t="shared" si="25"/>
        <v>0</v>
      </c>
      <c r="J85" s="32">
        <f t="shared" si="25"/>
        <v>0</v>
      </c>
      <c r="K85" s="32">
        <f t="shared" si="25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35" t="s">
        <v>215</v>
      </c>
      <c r="B86" s="18"/>
      <c r="C86" s="75"/>
      <c r="D86" s="18"/>
      <c r="E86" s="75"/>
      <c r="F86" s="18"/>
      <c r="G86" s="18"/>
      <c r="H86" s="18"/>
      <c r="I86" s="18"/>
      <c r="J86" s="18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6" t="s">
        <v>218</v>
      </c>
      <c r="B87" s="18"/>
      <c r="C87" s="75"/>
      <c r="D87" s="18"/>
      <c r="E87" s="75"/>
      <c r="F87" s="18"/>
      <c r="G87" s="18"/>
      <c r="H87" s="18"/>
      <c r="I87" s="18"/>
      <c r="J87" s="18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6" t="s">
        <v>387</v>
      </c>
      <c r="B88" s="18">
        <v>2600</v>
      </c>
      <c r="C88" s="75"/>
      <c r="D88" s="18"/>
      <c r="E88" s="75"/>
      <c r="F88" s="18"/>
      <c r="G88" s="18">
        <f t="shared" ref="G88:G92" si="26">B88+D88-F88</f>
        <v>2600</v>
      </c>
      <c r="H88" s="18">
        <f>G88-I88</f>
        <v>0</v>
      </c>
      <c r="I88" s="18">
        <f>J88</f>
        <v>2600</v>
      </c>
      <c r="J88" s="18">
        <f>G88</f>
        <v>2600</v>
      </c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6" t="s">
        <v>388</v>
      </c>
      <c r="B89" s="18">
        <v>2000</v>
      </c>
      <c r="C89" s="75"/>
      <c r="D89" s="18"/>
      <c r="E89" s="75"/>
      <c r="F89" s="18"/>
      <c r="G89" s="18">
        <f t="shared" si="26"/>
        <v>2000</v>
      </c>
      <c r="H89" s="18">
        <f t="shared" ref="H89:H92" si="27">G89-I89</f>
        <v>0</v>
      </c>
      <c r="I89" s="18">
        <f>J89</f>
        <v>2000</v>
      </c>
      <c r="J89" s="18">
        <f t="shared" ref="J89:J92" si="28">G89</f>
        <v>2000</v>
      </c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6" t="s">
        <v>389</v>
      </c>
      <c r="B90" s="18">
        <v>3800</v>
      </c>
      <c r="C90" s="75"/>
      <c r="D90" s="18"/>
      <c r="E90" s="75"/>
      <c r="F90" s="18"/>
      <c r="G90" s="18">
        <f t="shared" si="26"/>
        <v>3800</v>
      </c>
      <c r="H90" s="18">
        <f t="shared" si="27"/>
        <v>0</v>
      </c>
      <c r="I90" s="18">
        <f>J90</f>
        <v>3800</v>
      </c>
      <c r="J90" s="18">
        <f t="shared" si="28"/>
        <v>3800</v>
      </c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6" t="s">
        <v>390</v>
      </c>
      <c r="B91" s="18">
        <v>1600</v>
      </c>
      <c r="C91" s="75"/>
      <c r="D91" s="18"/>
      <c r="E91" s="75"/>
      <c r="F91" s="18"/>
      <c r="G91" s="18">
        <f t="shared" si="26"/>
        <v>1600</v>
      </c>
      <c r="H91" s="18">
        <f t="shared" si="27"/>
        <v>0</v>
      </c>
      <c r="I91" s="18">
        <f>J91</f>
        <v>1600</v>
      </c>
      <c r="J91" s="18">
        <f t="shared" si="28"/>
        <v>1600</v>
      </c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6" t="s">
        <v>391</v>
      </c>
      <c r="B92" s="18">
        <v>1800</v>
      </c>
      <c r="C92" s="75"/>
      <c r="D92" s="18"/>
      <c r="E92" s="75"/>
      <c r="F92" s="18"/>
      <c r="G92" s="18">
        <f t="shared" si="26"/>
        <v>1800</v>
      </c>
      <c r="H92" s="18">
        <f t="shared" si="27"/>
        <v>0</v>
      </c>
      <c r="I92" s="18">
        <f>J92</f>
        <v>1800</v>
      </c>
      <c r="J92" s="18">
        <f t="shared" si="28"/>
        <v>1800</v>
      </c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27"/>
      <c r="B93" s="62"/>
      <c r="C93" s="87"/>
      <c r="D93" s="64"/>
      <c r="E93" s="87"/>
      <c r="F93" s="64"/>
      <c r="G93" s="65" t="s">
        <v>3</v>
      </c>
      <c r="H93" s="65" t="s">
        <v>7</v>
      </c>
      <c r="I93" s="65" t="s">
        <v>8</v>
      </c>
      <c r="J93" s="150" t="s">
        <v>9</v>
      </c>
      <c r="K93" s="151"/>
      <c r="L93" s="1">
        <v>6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28" t="s">
        <v>12</v>
      </c>
      <c r="B94" s="57" t="s">
        <v>3</v>
      </c>
      <c r="C94" s="88"/>
      <c r="D94" s="58" t="s">
        <v>4</v>
      </c>
      <c r="E94" s="88"/>
      <c r="F94" s="58" t="s">
        <v>5</v>
      </c>
      <c r="G94" s="57" t="s">
        <v>6</v>
      </c>
      <c r="H94" s="57" t="s">
        <v>3</v>
      </c>
      <c r="I94" s="67"/>
      <c r="J94" s="68" t="s">
        <v>10</v>
      </c>
      <c r="K94" s="68" t="s">
        <v>11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6" t="s">
        <v>216</v>
      </c>
      <c r="B95" s="18">
        <v>5000</v>
      </c>
      <c r="C95" s="75"/>
      <c r="D95" s="18"/>
      <c r="E95" s="75"/>
      <c r="F95" s="18"/>
      <c r="G95" s="18">
        <f t="shared" ref="G95:G96" si="29">B95+D95-F95</f>
        <v>5000</v>
      </c>
      <c r="H95" s="18">
        <f>G95-I95</f>
        <v>0</v>
      </c>
      <c r="I95" s="18">
        <f>J95</f>
        <v>5000</v>
      </c>
      <c r="J95" s="18">
        <v>5000</v>
      </c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6" t="s">
        <v>217</v>
      </c>
      <c r="B96" s="18">
        <v>4760</v>
      </c>
      <c r="C96" s="75"/>
      <c r="D96" s="18"/>
      <c r="E96" s="75"/>
      <c r="F96" s="18"/>
      <c r="G96" s="18">
        <f t="shared" si="29"/>
        <v>4760</v>
      </c>
      <c r="H96" s="18">
        <f>G96-I96</f>
        <v>0</v>
      </c>
      <c r="I96" s="18">
        <f>J96</f>
        <v>4760</v>
      </c>
      <c r="J96" s="18">
        <v>4760</v>
      </c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6" t="s">
        <v>340</v>
      </c>
      <c r="B97" s="18"/>
      <c r="C97" s="75" t="s">
        <v>334</v>
      </c>
      <c r="D97" s="18">
        <v>4400</v>
      </c>
      <c r="E97" s="75"/>
      <c r="F97" s="18"/>
      <c r="G97" s="18">
        <f>B97+D97-F97</f>
        <v>4400</v>
      </c>
      <c r="H97" s="18">
        <f>G97</f>
        <v>4400</v>
      </c>
      <c r="I97" s="101" t="s">
        <v>394</v>
      </c>
      <c r="J97" s="101" t="s">
        <v>394</v>
      </c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6" t="s">
        <v>393</v>
      </c>
      <c r="B98" s="18"/>
      <c r="C98" s="75" t="s">
        <v>350</v>
      </c>
      <c r="D98" s="18">
        <v>25000</v>
      </c>
      <c r="E98" s="75" t="s">
        <v>361</v>
      </c>
      <c r="F98" s="18">
        <v>25000</v>
      </c>
      <c r="G98" s="18">
        <f>B98+D98-F98</f>
        <v>0</v>
      </c>
      <c r="H98" s="101" t="s">
        <v>394</v>
      </c>
      <c r="I98" s="101" t="s">
        <v>394</v>
      </c>
      <c r="J98" s="101"/>
      <c r="K98" s="101" t="s">
        <v>394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6" t="s">
        <v>219</v>
      </c>
      <c r="B99" s="18"/>
      <c r="C99" s="75"/>
      <c r="D99" s="18"/>
      <c r="E99" s="75"/>
      <c r="F99" s="18"/>
      <c r="G99" s="18"/>
      <c r="H99" s="18"/>
      <c r="I99" s="18"/>
      <c r="J99" s="18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6" t="s">
        <v>220</v>
      </c>
      <c r="B100" s="18">
        <v>90000</v>
      </c>
      <c r="C100" s="75"/>
      <c r="D100" s="18"/>
      <c r="E100" s="75"/>
      <c r="F100" s="18"/>
      <c r="G100" s="18">
        <f t="shared" ref="G100:G101" si="30">B100+D100-F100</f>
        <v>90000</v>
      </c>
      <c r="H100" s="18">
        <f>G100-I100</f>
        <v>0</v>
      </c>
      <c r="I100" s="18">
        <f>J100</f>
        <v>90000</v>
      </c>
      <c r="J100" s="18">
        <v>90000</v>
      </c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6" t="s">
        <v>221</v>
      </c>
      <c r="B101" s="18">
        <v>7500</v>
      </c>
      <c r="C101" s="75"/>
      <c r="D101" s="18"/>
      <c r="E101" s="75"/>
      <c r="F101" s="18"/>
      <c r="G101" s="18">
        <f t="shared" si="30"/>
        <v>7500</v>
      </c>
      <c r="H101" s="18">
        <f>G101-I101</f>
        <v>0</v>
      </c>
      <c r="I101" s="18">
        <f>J101</f>
        <v>7500</v>
      </c>
      <c r="J101" s="18">
        <v>7500</v>
      </c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6" t="s">
        <v>337</v>
      </c>
      <c r="B102" s="18"/>
      <c r="C102" s="75" t="s">
        <v>334</v>
      </c>
      <c r="D102" s="18">
        <v>50000</v>
      </c>
      <c r="E102" s="75"/>
      <c r="F102" s="18"/>
      <c r="G102" s="18">
        <f>B102+D102-F102</f>
        <v>50000</v>
      </c>
      <c r="H102" s="18">
        <f>G102+G103-I102</f>
        <v>2000</v>
      </c>
      <c r="I102" s="18">
        <f>J102</f>
        <v>98000</v>
      </c>
      <c r="J102" s="18">
        <v>98000</v>
      </c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6" t="s">
        <v>338</v>
      </c>
      <c r="B103" s="18"/>
      <c r="C103" s="75" t="s">
        <v>334</v>
      </c>
      <c r="D103" s="18">
        <v>50000</v>
      </c>
      <c r="E103" s="75"/>
      <c r="F103" s="18"/>
      <c r="G103" s="18">
        <f>B103+D103-F103</f>
        <v>50000</v>
      </c>
      <c r="H103" s="18"/>
      <c r="I103" s="18"/>
      <c r="J103" s="18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6" t="s">
        <v>339</v>
      </c>
      <c r="B104" s="18"/>
      <c r="C104" s="75" t="s">
        <v>334</v>
      </c>
      <c r="D104" s="18">
        <v>13340</v>
      </c>
      <c r="E104" s="75"/>
      <c r="F104" s="18"/>
      <c r="G104" s="18">
        <f>B104+D104-F104</f>
        <v>13340</v>
      </c>
      <c r="H104" s="18">
        <f>G104</f>
        <v>13340</v>
      </c>
      <c r="I104" s="101" t="s">
        <v>394</v>
      </c>
      <c r="J104" s="101" t="s">
        <v>394</v>
      </c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20"/>
      <c r="B105" s="21">
        <f>SUM(B88:B104)</f>
        <v>119060</v>
      </c>
      <c r="C105" s="78"/>
      <c r="D105" s="21">
        <f>SUM(D88:D104)</f>
        <v>142740</v>
      </c>
      <c r="E105" s="78"/>
      <c r="F105" s="21">
        <f>SUM(F88:F104)</f>
        <v>25000</v>
      </c>
      <c r="G105" s="21">
        <f>SUM(G88:G104)</f>
        <v>236800</v>
      </c>
      <c r="H105" s="21">
        <f>SUM(H88:H104)</f>
        <v>19740</v>
      </c>
      <c r="I105" s="21">
        <f>SUM(I88:I104)</f>
        <v>217060</v>
      </c>
      <c r="J105" s="21">
        <f>SUM(J88:J104)</f>
        <v>217060</v>
      </c>
      <c r="K105" s="21">
        <f t="shared" ref="K105" si="31">SUM(K88:K104)</f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35" t="s">
        <v>342</v>
      </c>
      <c r="B106" s="25"/>
      <c r="C106" s="81"/>
      <c r="D106" s="25"/>
      <c r="E106" s="81"/>
      <c r="F106" s="25"/>
      <c r="G106" s="25"/>
      <c r="H106" s="25"/>
      <c r="I106" s="25"/>
      <c r="J106" s="25"/>
      <c r="K106" s="2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6" t="s">
        <v>218</v>
      </c>
      <c r="B107" s="25"/>
      <c r="C107" s="81"/>
      <c r="D107" s="25"/>
      <c r="E107" s="81"/>
      <c r="F107" s="25"/>
      <c r="G107" s="25"/>
      <c r="H107" s="25"/>
      <c r="I107" s="25"/>
      <c r="J107" s="25"/>
      <c r="K107" s="2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6" t="s">
        <v>358</v>
      </c>
      <c r="B108" s="25"/>
      <c r="C108" s="81" t="s">
        <v>334</v>
      </c>
      <c r="D108" s="25">
        <v>8000</v>
      </c>
      <c r="E108" s="81"/>
      <c r="F108" s="25"/>
      <c r="G108" s="25">
        <f>B108+D108-F108</f>
        <v>8000</v>
      </c>
      <c r="H108" s="25">
        <f>G108-I108</f>
        <v>200</v>
      </c>
      <c r="I108" s="25">
        <f>K108</f>
        <v>7800</v>
      </c>
      <c r="J108" s="25"/>
      <c r="K108" s="25">
        <v>7800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6" t="s">
        <v>392</v>
      </c>
      <c r="B109" s="25"/>
      <c r="C109" s="81" t="s">
        <v>350</v>
      </c>
      <c r="D109" s="25">
        <v>100000</v>
      </c>
      <c r="E109" s="81"/>
      <c r="F109" s="25"/>
      <c r="G109" s="25">
        <f>B109+D109-F109</f>
        <v>100000</v>
      </c>
      <c r="H109" s="25">
        <f>G109-I109</f>
        <v>2000</v>
      </c>
      <c r="I109" s="25">
        <f>J109</f>
        <v>98000</v>
      </c>
      <c r="J109" s="25">
        <v>98000</v>
      </c>
      <c r="K109" s="2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6" t="s">
        <v>368</v>
      </c>
      <c r="B110" s="25"/>
      <c r="C110" s="81" t="s">
        <v>361</v>
      </c>
      <c r="D110" s="25">
        <v>92000</v>
      </c>
      <c r="E110" s="81"/>
      <c r="F110" s="25"/>
      <c r="G110" s="25">
        <f t="shared" ref="G110:G112" si="32">B110+D110-F110</f>
        <v>92000</v>
      </c>
      <c r="H110" s="25">
        <f>G110</f>
        <v>92000</v>
      </c>
      <c r="I110" s="102" t="s">
        <v>394</v>
      </c>
      <c r="J110" s="102" t="s">
        <v>394</v>
      </c>
      <c r="K110" s="2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6" t="s">
        <v>369</v>
      </c>
      <c r="B111" s="25"/>
      <c r="C111" s="81" t="s">
        <v>361</v>
      </c>
      <c r="D111" s="25">
        <v>28000</v>
      </c>
      <c r="E111" s="81"/>
      <c r="F111" s="25"/>
      <c r="G111" s="25">
        <f t="shared" si="32"/>
        <v>28000</v>
      </c>
      <c r="H111" s="25">
        <f>G111</f>
        <v>28000</v>
      </c>
      <c r="I111" s="102" t="s">
        <v>394</v>
      </c>
      <c r="J111" s="102" t="s">
        <v>394</v>
      </c>
      <c r="K111" s="2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6" t="s">
        <v>370</v>
      </c>
      <c r="B112" s="25"/>
      <c r="C112" s="81" t="s">
        <v>361</v>
      </c>
      <c r="D112" s="25">
        <v>10000</v>
      </c>
      <c r="E112" s="81"/>
      <c r="F112" s="25"/>
      <c r="G112" s="25">
        <f t="shared" si="32"/>
        <v>10000</v>
      </c>
      <c r="H112" s="25">
        <f>G112</f>
        <v>10000</v>
      </c>
      <c r="I112" s="102" t="s">
        <v>394</v>
      </c>
      <c r="J112" s="102" t="s">
        <v>394</v>
      </c>
      <c r="K112" s="2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6" t="s">
        <v>376</v>
      </c>
      <c r="B113" s="25"/>
      <c r="C113" s="81" t="s">
        <v>361</v>
      </c>
      <c r="D113" s="25">
        <v>50000</v>
      </c>
      <c r="E113" s="81" t="s">
        <v>384</v>
      </c>
      <c r="F113" s="25">
        <v>49000</v>
      </c>
      <c r="G113" s="25">
        <f>B113+D113-F113</f>
        <v>1000</v>
      </c>
      <c r="H113" s="25">
        <f>G113</f>
        <v>1000</v>
      </c>
      <c r="I113" s="102" t="s">
        <v>394</v>
      </c>
      <c r="J113" s="102" t="s">
        <v>394</v>
      </c>
      <c r="K113" s="2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31"/>
      <c r="B114" s="32">
        <f>SUM(B108:B113)</f>
        <v>0</v>
      </c>
      <c r="C114" s="77"/>
      <c r="D114" s="32">
        <f>SUM(D108:D113)</f>
        <v>288000</v>
      </c>
      <c r="E114" s="77"/>
      <c r="F114" s="32">
        <f>SUM(F108:F113)</f>
        <v>49000</v>
      </c>
      <c r="G114" s="32">
        <f>SUM(G108:G113)</f>
        <v>239000</v>
      </c>
      <c r="H114" s="32">
        <f t="shared" ref="H114:K114" si="33">SUM(H108:H113)</f>
        <v>133200</v>
      </c>
      <c r="I114" s="32">
        <f t="shared" si="33"/>
        <v>105800</v>
      </c>
      <c r="J114" s="32">
        <f t="shared" si="33"/>
        <v>98000</v>
      </c>
      <c r="K114" s="32">
        <f t="shared" si="33"/>
        <v>7800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35" t="s">
        <v>222</v>
      </c>
      <c r="B115" s="18"/>
      <c r="C115" s="75"/>
      <c r="D115" s="18"/>
      <c r="E115" s="75"/>
      <c r="F115" s="18"/>
      <c r="G115" s="18"/>
      <c r="H115" s="18"/>
      <c r="I115" s="18"/>
      <c r="J115" s="18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6" t="s">
        <v>223</v>
      </c>
      <c r="B116" s="18">
        <v>90000</v>
      </c>
      <c r="C116" s="75"/>
      <c r="D116" s="18"/>
      <c r="E116" s="75"/>
      <c r="F116" s="18"/>
      <c r="G116" s="18">
        <f>B116+D116-F116</f>
        <v>90000</v>
      </c>
      <c r="H116" s="18">
        <f>G116-I116</f>
        <v>0</v>
      </c>
      <c r="I116" s="18">
        <f>J116</f>
        <v>90000</v>
      </c>
      <c r="J116" s="18">
        <v>90000</v>
      </c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6" t="s">
        <v>336</v>
      </c>
      <c r="B117" s="18"/>
      <c r="C117" s="75">
        <v>1</v>
      </c>
      <c r="D117" s="18">
        <v>45000</v>
      </c>
      <c r="E117" s="75"/>
      <c r="F117" s="18"/>
      <c r="G117" s="18">
        <f>B117+D117-F117</f>
        <v>45000</v>
      </c>
      <c r="H117" s="18">
        <f>G117-I117</f>
        <v>0</v>
      </c>
      <c r="I117" s="18">
        <f>J117</f>
        <v>45000</v>
      </c>
      <c r="J117" s="18">
        <v>45000</v>
      </c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20"/>
      <c r="B118" s="21">
        <f>SUM(B116:B117)</f>
        <v>90000</v>
      </c>
      <c r="C118" s="78"/>
      <c r="D118" s="21">
        <f>SUM(D116:D117)</f>
        <v>45000</v>
      </c>
      <c r="E118" s="78"/>
      <c r="F118" s="21">
        <f>SUM(F116:F117)</f>
        <v>0</v>
      </c>
      <c r="G118" s="21">
        <f>SUM(G116:G117)</f>
        <v>135000</v>
      </c>
      <c r="H118" s="21">
        <f t="shared" ref="H118:J118" si="34">SUM(H116:H117)</f>
        <v>0</v>
      </c>
      <c r="I118" s="21">
        <f t="shared" si="34"/>
        <v>135000</v>
      </c>
      <c r="J118" s="21">
        <f t="shared" si="34"/>
        <v>135000</v>
      </c>
      <c r="K118" s="21">
        <f>SUM(K116:K117)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31" t="s">
        <v>225</v>
      </c>
      <c r="B119" s="32">
        <f>B17+B21+B27+B42+B51+B75+B81+B85+B114</f>
        <v>8109660</v>
      </c>
      <c r="C119" s="77"/>
      <c r="D119" s="32">
        <f>D17+D21+D27+D42+D51+D75+D81+D85+D114</f>
        <v>962304</v>
      </c>
      <c r="E119" s="77"/>
      <c r="F119" s="32">
        <f>F17+F21+F27+F42+F51+F75+F81+F85+F114</f>
        <v>1055049.2</v>
      </c>
      <c r="G119" s="32">
        <f>G17+G21+G27+G42+G51+G75+G81+G85+G114</f>
        <v>8016914.7999999998</v>
      </c>
      <c r="H119" s="32">
        <f>H17+H21+H27+H42+H51+H75+H81+H85+H114</f>
        <v>809245.24</v>
      </c>
      <c r="I119" s="32">
        <f t="shared" ref="I119:K119" si="35">I17+I21+I27+I42+I51+I75+I81+I85+I114</f>
        <v>7207669.5600000005</v>
      </c>
      <c r="J119" s="32">
        <f t="shared" si="35"/>
        <v>5568558.4100000001</v>
      </c>
      <c r="K119" s="32">
        <f t="shared" si="35"/>
        <v>1639111.15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20" t="s">
        <v>226</v>
      </c>
      <c r="B120" s="21">
        <f>B61+B72+B105+B118</f>
        <v>882827</v>
      </c>
      <c r="C120" s="78"/>
      <c r="D120" s="21">
        <f>D61+D72+D105+D118</f>
        <v>433240</v>
      </c>
      <c r="E120" s="78"/>
      <c r="F120" s="21">
        <f>F61+F72+F105+F118</f>
        <v>88300</v>
      </c>
      <c r="G120" s="21">
        <f>G61+G72+G105+G118</f>
        <v>1227767</v>
      </c>
      <c r="H120" s="21">
        <f t="shared" ref="H120:K120" si="36">H61+H72+H105+H118</f>
        <v>160942.27999999997</v>
      </c>
      <c r="I120" s="21">
        <f t="shared" si="36"/>
        <v>1066824.72</v>
      </c>
      <c r="J120" s="21">
        <f t="shared" si="36"/>
        <v>895126.63</v>
      </c>
      <c r="K120" s="21">
        <f t="shared" si="36"/>
        <v>171698.09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69" t="s">
        <v>224</v>
      </c>
      <c r="B121" s="70">
        <f>B119+B120</f>
        <v>8992487</v>
      </c>
      <c r="C121" s="84"/>
      <c r="D121" s="70">
        <f>D119+D120</f>
        <v>1395544</v>
      </c>
      <c r="E121" s="84"/>
      <c r="F121" s="70">
        <f t="shared" ref="F121:K121" si="37">F119+F120</f>
        <v>1143349.2</v>
      </c>
      <c r="G121" s="70">
        <f t="shared" si="37"/>
        <v>9244681.8000000007</v>
      </c>
      <c r="H121" s="70">
        <f t="shared" si="37"/>
        <v>970187.52</v>
      </c>
      <c r="I121" s="70">
        <f t="shared" si="37"/>
        <v>8274494.2800000003</v>
      </c>
      <c r="J121" s="70">
        <f t="shared" si="37"/>
        <v>6463685.04</v>
      </c>
      <c r="K121" s="70">
        <f t="shared" si="37"/>
        <v>1810809.24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6"/>
      <c r="B122" s="18"/>
      <c r="C122" s="18"/>
      <c r="D122" s="18"/>
      <c r="E122" s="75"/>
      <c r="F122" s="18"/>
      <c r="G122" s="18"/>
      <c r="H122" s="18"/>
      <c r="I122" s="18"/>
      <c r="J122" s="18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6"/>
      <c r="B123" s="18"/>
      <c r="C123" s="18"/>
      <c r="D123" s="18"/>
      <c r="E123" s="75"/>
      <c r="F123" s="18"/>
      <c r="G123" s="18"/>
      <c r="H123" s="18"/>
      <c r="I123" s="18"/>
      <c r="J123" s="18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6"/>
      <c r="B124" s="18"/>
      <c r="C124" s="18"/>
      <c r="D124" s="18"/>
      <c r="E124" s="75"/>
      <c r="F124" s="18"/>
      <c r="G124" s="18"/>
      <c r="H124" s="18"/>
      <c r="I124" s="18"/>
      <c r="J124" s="18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6"/>
      <c r="B125" s="18"/>
      <c r="C125" s="18"/>
      <c r="D125" s="18"/>
      <c r="E125" s="75"/>
      <c r="F125" s="18"/>
      <c r="G125" s="18"/>
      <c r="H125" s="18"/>
      <c r="I125" s="18"/>
      <c r="J125" s="18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6"/>
      <c r="B126" s="18"/>
      <c r="C126" s="18"/>
      <c r="D126" s="18"/>
      <c r="E126" s="75"/>
      <c r="F126" s="18"/>
      <c r="G126" s="18"/>
      <c r="H126" s="18"/>
      <c r="I126" s="18"/>
      <c r="J126" s="18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6"/>
      <c r="B127" s="18"/>
      <c r="C127" s="18"/>
      <c r="D127" s="18"/>
      <c r="E127" s="75"/>
      <c r="F127" s="18"/>
      <c r="G127" s="18"/>
      <c r="H127" s="18"/>
      <c r="I127" s="18"/>
      <c r="J127" s="18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6"/>
      <c r="B128" s="18"/>
      <c r="C128" s="18"/>
      <c r="D128" s="18"/>
      <c r="E128" s="75"/>
      <c r="F128" s="18"/>
      <c r="G128" s="18"/>
      <c r="H128" s="18"/>
      <c r="I128" s="18"/>
      <c r="J128" s="18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6"/>
      <c r="B129" s="18"/>
      <c r="C129" s="18"/>
      <c r="D129" s="18"/>
      <c r="E129" s="75"/>
      <c r="F129" s="18"/>
      <c r="G129" s="18"/>
      <c r="H129" s="18"/>
      <c r="I129" s="18"/>
      <c r="J129" s="18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6"/>
      <c r="B130" s="18"/>
      <c r="C130" s="18"/>
      <c r="D130" s="18"/>
      <c r="E130" s="75"/>
      <c r="F130" s="18"/>
      <c r="G130" s="18"/>
      <c r="H130" s="18"/>
      <c r="I130" s="18"/>
      <c r="J130" s="18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6"/>
      <c r="B131" s="18"/>
      <c r="C131" s="18"/>
      <c r="D131" s="18"/>
      <c r="E131" s="75"/>
      <c r="F131" s="18"/>
      <c r="G131" s="18"/>
      <c r="H131" s="18"/>
      <c r="I131" s="18"/>
      <c r="J131" s="18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6"/>
      <c r="B132" s="18"/>
      <c r="C132" s="18"/>
      <c r="D132" s="18"/>
      <c r="E132" s="75"/>
      <c r="F132" s="18"/>
      <c r="G132" s="18"/>
      <c r="H132" s="18"/>
      <c r="I132" s="18"/>
      <c r="J132" s="18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6"/>
      <c r="B133" s="18"/>
      <c r="C133" s="18"/>
      <c r="D133" s="18"/>
      <c r="E133" s="75"/>
      <c r="F133" s="18"/>
      <c r="G133" s="18"/>
      <c r="H133" s="18"/>
      <c r="I133" s="18"/>
      <c r="J133" s="18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6"/>
      <c r="B134" s="18"/>
      <c r="C134" s="18"/>
      <c r="D134" s="18"/>
      <c r="E134" s="75"/>
      <c r="F134" s="18"/>
      <c r="G134" s="18"/>
      <c r="H134" s="18"/>
      <c r="I134" s="18"/>
      <c r="J134" s="18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6"/>
      <c r="B135" s="18"/>
      <c r="C135" s="18"/>
      <c r="D135" s="18"/>
      <c r="E135" s="75"/>
      <c r="F135" s="18"/>
      <c r="G135" s="18"/>
      <c r="H135" s="18"/>
      <c r="I135" s="18"/>
      <c r="J135" s="18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6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6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8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8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8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8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8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8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8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8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8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8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8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8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8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</sheetData>
  <mergeCells count="7">
    <mergeCell ref="J93:K93"/>
    <mergeCell ref="J62:K62"/>
    <mergeCell ref="J29:K29"/>
    <mergeCell ref="A1:K1"/>
    <mergeCell ref="A2:K2"/>
    <mergeCell ref="A3:K3"/>
    <mergeCell ref="J4:K4"/>
  </mergeCells>
  <pageMargins left="0.89" right="0.19685039370078741" top="0.31496062992125984" bottom="0.23622047244094491" header="0.31496062992125984" footer="0.23622047244094491"/>
  <pageSetup paperSize="5" scale="92" orientation="landscape" horizontalDpi="4294967293" verticalDpi="0" r:id="rId1"/>
  <rowBreaks count="4" manualBreakCount="4">
    <brk id="28" max="11" man="1"/>
    <brk id="61" max="11" man="1"/>
    <brk id="92" max="11" man="1"/>
    <brk id="1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744"/>
  <sheetViews>
    <sheetView view="pageBreakPreview" zoomScaleSheetLayoutView="100" workbookViewId="0">
      <selection activeCell="K1" sqref="K1"/>
    </sheetView>
  </sheetViews>
  <sheetFormatPr defaultRowHeight="14.25"/>
  <cols>
    <col min="1" max="1" width="55.375" customWidth="1"/>
    <col min="2" max="2" width="14.125" customWidth="1"/>
    <col min="3" max="3" width="2.25" customWidth="1"/>
    <col min="4" max="4" width="11.625" customWidth="1"/>
    <col min="5" max="5" width="2.5" customWidth="1"/>
    <col min="6" max="6" width="11.25" customWidth="1"/>
    <col min="7" max="7" width="11.5" customWidth="1"/>
    <col min="8" max="8" width="12.625" customWidth="1"/>
    <col min="9" max="9" width="12.25" customWidth="1"/>
    <col min="10" max="10" width="11.875" customWidth="1"/>
    <col min="11" max="11" width="13.75" customWidth="1"/>
  </cols>
  <sheetData>
    <row r="1" spans="1:23">
      <c r="K1">
        <v>7</v>
      </c>
    </row>
    <row r="2" spans="1:23" ht="18.7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236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6"/>
      <c r="B5" s="8"/>
      <c r="C5" s="3"/>
      <c r="D5" s="10"/>
      <c r="E5" s="3"/>
      <c r="F5" s="10"/>
      <c r="G5" s="12" t="s">
        <v>3</v>
      </c>
      <c r="H5" s="13" t="s">
        <v>7</v>
      </c>
      <c r="I5" s="12" t="s">
        <v>8</v>
      </c>
      <c r="J5" s="148" t="s">
        <v>9</v>
      </c>
      <c r="K5" s="14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7" t="s">
        <v>12</v>
      </c>
      <c r="B6" s="9" t="s">
        <v>3</v>
      </c>
      <c r="C6" s="4"/>
      <c r="D6" s="11" t="s">
        <v>4</v>
      </c>
      <c r="E6" s="4"/>
      <c r="F6" s="11" t="s">
        <v>5</v>
      </c>
      <c r="G6" s="9" t="s">
        <v>6</v>
      </c>
      <c r="H6" s="9" t="s">
        <v>3</v>
      </c>
      <c r="I6" s="14"/>
      <c r="J6" s="47" t="s">
        <v>22</v>
      </c>
      <c r="K6" s="47" t="s">
        <v>136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47" t="s">
        <v>187</v>
      </c>
      <c r="B7" s="18"/>
      <c r="C7" s="75"/>
      <c r="D7" s="18"/>
      <c r="E7" s="75"/>
      <c r="F7" s="18"/>
      <c r="G7" s="18"/>
      <c r="H7" s="18"/>
      <c r="I7" s="18"/>
      <c r="J7" s="18"/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2" t="s">
        <v>237</v>
      </c>
      <c r="B8" s="18">
        <v>30000</v>
      </c>
      <c r="C8" s="75"/>
      <c r="D8" s="18"/>
      <c r="E8" s="75" t="s">
        <v>361</v>
      </c>
      <c r="F8" s="18">
        <v>10000</v>
      </c>
      <c r="G8" s="18">
        <f t="shared" ref="G8:G14" si="0">B8+D8-F8</f>
        <v>20000</v>
      </c>
      <c r="H8" s="18">
        <f>G8-I8</f>
        <v>1460</v>
      </c>
      <c r="I8" s="18">
        <f>J8</f>
        <v>18540</v>
      </c>
      <c r="J8" s="18">
        <v>18540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16" t="s">
        <v>238</v>
      </c>
      <c r="B9" s="18">
        <v>20000</v>
      </c>
      <c r="C9" s="75" t="s">
        <v>361</v>
      </c>
      <c r="D9" s="18">
        <v>90000</v>
      </c>
      <c r="E9" s="75"/>
      <c r="F9" s="18"/>
      <c r="G9" s="18">
        <f t="shared" si="0"/>
        <v>110000</v>
      </c>
      <c r="H9" s="18">
        <f>G9-I9</f>
        <v>13220.11</v>
      </c>
      <c r="I9" s="18">
        <f>K9</f>
        <v>96779.89</v>
      </c>
      <c r="J9" s="18"/>
      <c r="K9" s="18">
        <f>105275-982.11-7513</f>
        <v>96779.89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16" t="s">
        <v>239</v>
      </c>
      <c r="B10" s="18">
        <v>300000</v>
      </c>
      <c r="C10" s="75" t="s">
        <v>350</v>
      </c>
      <c r="D10" s="18">
        <v>48200</v>
      </c>
      <c r="E10" s="95" t="s">
        <v>362</v>
      </c>
      <c r="F10" s="18">
        <f>200000+137000</f>
        <v>337000</v>
      </c>
      <c r="G10" s="18">
        <f t="shared" si="0"/>
        <v>11200</v>
      </c>
      <c r="H10" s="18">
        <f>G10-I10</f>
        <v>0</v>
      </c>
      <c r="I10" s="18">
        <f>J10</f>
        <v>11200</v>
      </c>
      <c r="J10" s="18">
        <v>11200</v>
      </c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16" t="s">
        <v>240</v>
      </c>
      <c r="B11" s="18">
        <v>25000</v>
      </c>
      <c r="C11" s="75"/>
      <c r="D11" s="18"/>
      <c r="E11" s="75"/>
      <c r="F11" s="18"/>
      <c r="G11" s="18">
        <f t="shared" si="0"/>
        <v>25000</v>
      </c>
      <c r="H11" s="18">
        <f>G11-I11</f>
        <v>5000</v>
      </c>
      <c r="I11" s="18">
        <f>K11</f>
        <v>20000</v>
      </c>
      <c r="J11" s="18"/>
      <c r="K11" s="18">
        <v>20000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16" t="s">
        <v>264</v>
      </c>
      <c r="B12" s="18">
        <v>10000</v>
      </c>
      <c r="C12" s="75"/>
      <c r="D12" s="18"/>
      <c r="E12" s="75" t="s">
        <v>361</v>
      </c>
      <c r="F12" s="18">
        <v>1000</v>
      </c>
      <c r="G12" s="18">
        <f t="shared" si="0"/>
        <v>9000</v>
      </c>
      <c r="H12" s="18">
        <f>G12-I12</f>
        <v>0</v>
      </c>
      <c r="I12" s="18">
        <f>K12</f>
        <v>9000</v>
      </c>
      <c r="J12" s="18"/>
      <c r="K12" s="18">
        <v>9000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16" t="s">
        <v>265</v>
      </c>
      <c r="B13" s="18">
        <v>3000</v>
      </c>
      <c r="C13" s="75"/>
      <c r="D13" s="18"/>
      <c r="E13" s="75"/>
      <c r="F13" s="18"/>
      <c r="G13" s="18">
        <f t="shared" si="0"/>
        <v>3000</v>
      </c>
      <c r="H13" s="18">
        <f>G13</f>
        <v>3000</v>
      </c>
      <c r="I13" s="101" t="s">
        <v>394</v>
      </c>
      <c r="J13" s="18"/>
      <c r="K13" s="101" t="s">
        <v>394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16" t="s">
        <v>266</v>
      </c>
      <c r="B14" s="18">
        <v>10000</v>
      </c>
      <c r="C14" s="75"/>
      <c r="D14" s="18"/>
      <c r="E14" s="94" t="s">
        <v>379</v>
      </c>
      <c r="F14" s="18">
        <f>9000+1000</f>
        <v>10000</v>
      </c>
      <c r="G14" s="18">
        <f t="shared" si="0"/>
        <v>0</v>
      </c>
      <c r="H14" s="101" t="s">
        <v>394</v>
      </c>
      <c r="I14" s="101" t="s">
        <v>394</v>
      </c>
      <c r="J14" s="18"/>
      <c r="K14" s="101" t="s">
        <v>394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20"/>
      <c r="B15" s="21">
        <f>SUM(B8:B14)</f>
        <v>398000</v>
      </c>
      <c r="C15" s="78"/>
      <c r="D15" s="21">
        <f>SUM(D8:D14)</f>
        <v>138200</v>
      </c>
      <c r="E15" s="78"/>
      <c r="F15" s="21">
        <f t="shared" ref="F15:K15" si="1">SUM(F8:F14)</f>
        <v>358000</v>
      </c>
      <c r="G15" s="21">
        <f t="shared" si="1"/>
        <v>178200</v>
      </c>
      <c r="H15" s="21">
        <f t="shared" si="1"/>
        <v>22680.11</v>
      </c>
      <c r="I15" s="21">
        <f t="shared" si="1"/>
        <v>155519.89000000001</v>
      </c>
      <c r="J15" s="21">
        <f t="shared" si="1"/>
        <v>29740</v>
      </c>
      <c r="K15" s="21">
        <f t="shared" si="1"/>
        <v>125779.89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35" t="s">
        <v>212</v>
      </c>
      <c r="B16" s="18"/>
      <c r="C16" s="75"/>
      <c r="D16" s="18"/>
      <c r="E16" s="75"/>
      <c r="F16" s="18"/>
      <c r="G16" s="18"/>
      <c r="H16" s="18"/>
      <c r="I16" s="18"/>
      <c r="J16" s="18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16" t="s">
        <v>213</v>
      </c>
      <c r="B17" s="18"/>
      <c r="C17" s="75"/>
      <c r="D17" s="18"/>
      <c r="E17" s="75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72" t="s">
        <v>231</v>
      </c>
      <c r="B18" s="18"/>
      <c r="C18" s="75"/>
      <c r="D18" s="18"/>
      <c r="E18" s="75"/>
      <c r="F18" s="18"/>
      <c r="G18" s="18"/>
      <c r="H18" s="18"/>
      <c r="I18" s="18"/>
      <c r="J18" s="18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16" t="s">
        <v>241</v>
      </c>
      <c r="B19" s="18">
        <v>10000</v>
      </c>
      <c r="C19" s="75"/>
      <c r="D19" s="18"/>
      <c r="E19" s="75"/>
      <c r="F19" s="18"/>
      <c r="G19" s="18">
        <f t="shared" ref="G19:G21" si="2">B19+D19-F19</f>
        <v>10000</v>
      </c>
      <c r="H19" s="18">
        <f>G19</f>
        <v>10000</v>
      </c>
      <c r="I19" s="101" t="s">
        <v>394</v>
      </c>
      <c r="J19" s="101"/>
      <c r="K19" s="101" t="s">
        <v>394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16" t="s">
        <v>242</v>
      </c>
      <c r="B20" s="18">
        <v>20000</v>
      </c>
      <c r="C20" s="75"/>
      <c r="D20" s="18"/>
      <c r="E20" s="75"/>
      <c r="F20" s="18"/>
      <c r="G20" s="18">
        <f t="shared" si="2"/>
        <v>20000</v>
      </c>
      <c r="H20" s="18">
        <f>G20-I20</f>
        <v>0</v>
      </c>
      <c r="I20" s="18">
        <f>K20</f>
        <v>20000</v>
      </c>
      <c r="J20" s="18"/>
      <c r="K20" s="18">
        <v>20000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16" t="s">
        <v>243</v>
      </c>
      <c r="B21" s="18">
        <v>5000</v>
      </c>
      <c r="C21" s="75"/>
      <c r="D21" s="18"/>
      <c r="E21" s="75"/>
      <c r="F21" s="18"/>
      <c r="G21" s="18">
        <f t="shared" si="2"/>
        <v>5000</v>
      </c>
      <c r="H21" s="18">
        <f>G21</f>
        <v>5000</v>
      </c>
      <c r="I21" s="101" t="s">
        <v>394</v>
      </c>
      <c r="J21" s="101"/>
      <c r="K21" s="101" t="s">
        <v>394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31"/>
      <c r="B22" s="32">
        <f>SUM(B19:B21)</f>
        <v>35000</v>
      </c>
      <c r="C22" s="77"/>
      <c r="D22" s="32">
        <f>SUM(D19:D21)</f>
        <v>0</v>
      </c>
      <c r="E22" s="77"/>
      <c r="F22" s="32">
        <f>SUM(F19:F21)</f>
        <v>0</v>
      </c>
      <c r="G22" s="32">
        <f>SUM(G19:G21)</f>
        <v>35000</v>
      </c>
      <c r="H22" s="32">
        <f>SUM(H19:H21)</f>
        <v>15000</v>
      </c>
      <c r="I22" s="32">
        <f t="shared" ref="I22:K22" si="3">SUM(I19:I21)</f>
        <v>20000</v>
      </c>
      <c r="J22" s="32">
        <f t="shared" si="3"/>
        <v>0</v>
      </c>
      <c r="K22" s="32">
        <f t="shared" si="3"/>
        <v>20000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35" t="s">
        <v>19</v>
      </c>
      <c r="B23" s="18"/>
      <c r="C23" s="75"/>
      <c r="D23" s="18"/>
      <c r="E23" s="75"/>
      <c r="F23" s="18"/>
      <c r="G23" s="18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16" t="s">
        <v>248</v>
      </c>
      <c r="B24" s="18">
        <v>31080</v>
      </c>
      <c r="C24" s="75"/>
      <c r="D24" s="18"/>
      <c r="E24" s="75" t="s">
        <v>384</v>
      </c>
      <c r="F24" s="18">
        <v>4500</v>
      </c>
      <c r="G24" s="18">
        <f>B24+D24-F24</f>
        <v>26580</v>
      </c>
      <c r="H24" s="18">
        <f>G24</f>
        <v>26580</v>
      </c>
      <c r="I24" s="101" t="s">
        <v>394</v>
      </c>
      <c r="J24" s="101" t="s">
        <v>394</v>
      </c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31"/>
      <c r="B25" s="32">
        <f>SUM(B24)</f>
        <v>31080</v>
      </c>
      <c r="C25" s="77"/>
      <c r="D25" s="32">
        <f>SUM(D24)</f>
        <v>0</v>
      </c>
      <c r="E25" s="77"/>
      <c r="F25" s="32">
        <f>SUM(F24)</f>
        <v>4500</v>
      </c>
      <c r="G25" s="32">
        <f>SUM(G24)</f>
        <v>26580</v>
      </c>
      <c r="H25" s="32">
        <f t="shared" ref="H25:K25" si="4">SUM(H24)</f>
        <v>26580</v>
      </c>
      <c r="I25" s="32">
        <f t="shared" si="4"/>
        <v>0</v>
      </c>
      <c r="J25" s="32">
        <f t="shared" si="4"/>
        <v>0</v>
      </c>
      <c r="K25" s="32">
        <f t="shared" si="4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31" t="s">
        <v>322</v>
      </c>
      <c r="B26" s="32">
        <f>B22+B25</f>
        <v>66080</v>
      </c>
      <c r="C26" s="77"/>
      <c r="D26" s="32">
        <f>D22+D25</f>
        <v>0</v>
      </c>
      <c r="E26" s="77"/>
      <c r="F26" s="32">
        <f>F22+F25</f>
        <v>4500</v>
      </c>
      <c r="G26" s="32">
        <f>G22+G25</f>
        <v>61580</v>
      </c>
      <c r="H26" s="32">
        <f t="shared" ref="H26:K26" si="5">H22+H25</f>
        <v>41580</v>
      </c>
      <c r="I26" s="32">
        <f t="shared" si="5"/>
        <v>20000</v>
      </c>
      <c r="J26" s="32">
        <f t="shared" si="5"/>
        <v>0</v>
      </c>
      <c r="K26" s="32">
        <f t="shared" si="5"/>
        <v>20000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20" t="s">
        <v>323</v>
      </c>
      <c r="B27" s="21">
        <f>B15</f>
        <v>398000</v>
      </c>
      <c r="C27" s="78"/>
      <c r="D27" s="21">
        <f>D15</f>
        <v>138200</v>
      </c>
      <c r="E27" s="78"/>
      <c r="F27" s="21">
        <f>F15</f>
        <v>358000</v>
      </c>
      <c r="G27" s="21">
        <f>G15</f>
        <v>178200</v>
      </c>
      <c r="H27" s="21">
        <f t="shared" ref="H27:K27" si="6">H15</f>
        <v>22680.11</v>
      </c>
      <c r="I27" s="21">
        <f t="shared" si="6"/>
        <v>155519.89000000001</v>
      </c>
      <c r="J27" s="21">
        <f t="shared" si="6"/>
        <v>29740</v>
      </c>
      <c r="K27" s="21">
        <f t="shared" si="6"/>
        <v>125779.89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69" t="s">
        <v>324</v>
      </c>
      <c r="B28" s="70">
        <f>B26+B27</f>
        <v>464080</v>
      </c>
      <c r="C28" s="84"/>
      <c r="D28" s="70">
        <f>D26+D27</f>
        <v>138200</v>
      </c>
      <c r="E28" s="84"/>
      <c r="F28" s="70">
        <f>F26+F27</f>
        <v>362500</v>
      </c>
      <c r="G28" s="70">
        <f>G26+G27</f>
        <v>239780</v>
      </c>
      <c r="H28" s="70">
        <f t="shared" ref="H28:K28" si="7">H26+H27</f>
        <v>64260.11</v>
      </c>
      <c r="I28" s="70">
        <f t="shared" si="7"/>
        <v>175519.89</v>
      </c>
      <c r="J28" s="70">
        <f t="shared" si="7"/>
        <v>29740</v>
      </c>
      <c r="K28" s="70">
        <f t="shared" si="7"/>
        <v>145779.89000000001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</sheetData>
  <mergeCells count="4">
    <mergeCell ref="A2:K2"/>
    <mergeCell ref="A3:K3"/>
    <mergeCell ref="A4:K4"/>
    <mergeCell ref="J5:K5"/>
  </mergeCells>
  <pageMargins left="0.27" right="0.19" top="0.31" bottom="0.25" header="0.3" footer="0.25"/>
  <pageSetup paperSize="5" orientation="landscape" horizontalDpi="4294967293" verticalDpi="0" r:id="rId1"/>
  <rowBreaks count="1" manualBreakCount="1">
    <brk id="2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W750"/>
  <sheetViews>
    <sheetView view="pageBreakPreview" zoomScaleSheetLayoutView="100" workbookViewId="0">
      <selection sqref="A1:K1"/>
    </sheetView>
  </sheetViews>
  <sheetFormatPr defaultRowHeight="14.25"/>
  <cols>
    <col min="1" max="1" width="49.375" customWidth="1"/>
    <col min="2" max="2" width="12.75" customWidth="1"/>
    <col min="3" max="3" width="2.25" customWidth="1"/>
    <col min="4" max="4" width="10.875" customWidth="1"/>
    <col min="5" max="5" width="2.375" customWidth="1"/>
    <col min="6" max="6" width="10.625" customWidth="1"/>
    <col min="7" max="7" width="11.5" customWidth="1"/>
    <col min="8" max="8" width="12.25" customWidth="1"/>
    <col min="9" max="9" width="11.75" customWidth="1"/>
    <col min="10" max="10" width="11.25" customWidth="1"/>
    <col min="11" max="11" width="11.125" customWidth="1"/>
    <col min="12" max="12" width="9.625" bestFit="1" customWidth="1"/>
  </cols>
  <sheetData>
    <row r="1" spans="1:23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1">
        <v>8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>
      <c r="A2" s="147" t="s">
        <v>330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152" t="s">
        <v>9</v>
      </c>
      <c r="K4" s="152"/>
      <c r="L4" s="15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9" t="s">
        <v>22</v>
      </c>
      <c r="K5" s="9" t="s">
        <v>23</v>
      </c>
      <c r="L5" s="56" t="s">
        <v>92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15" t="s">
        <v>16</v>
      </c>
      <c r="B6" s="18"/>
      <c r="C6" s="75"/>
      <c r="D6" s="18"/>
      <c r="E6" s="75"/>
      <c r="F6" s="18"/>
      <c r="G6" s="18"/>
      <c r="H6" s="18"/>
      <c r="I6" s="18"/>
      <c r="J6" s="18"/>
      <c r="K6" s="18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16" t="s">
        <v>13</v>
      </c>
      <c r="B7" s="18">
        <v>379980</v>
      </c>
      <c r="C7" s="75"/>
      <c r="D7" s="18"/>
      <c r="E7" s="75"/>
      <c r="F7" s="18"/>
      <c r="G7" s="18">
        <f t="shared" ref="G7:G8" si="0">B7+D7-F7</f>
        <v>379980</v>
      </c>
      <c r="H7" s="18">
        <f>G7-I7</f>
        <v>2373</v>
      </c>
      <c r="I7" s="18">
        <f>J7</f>
        <v>377607</v>
      </c>
      <c r="J7" s="18">
        <v>377607</v>
      </c>
      <c r="K7" s="18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16" t="s">
        <v>14</v>
      </c>
      <c r="B8" s="18">
        <v>3000</v>
      </c>
      <c r="C8" s="75"/>
      <c r="D8" s="18"/>
      <c r="E8" s="75"/>
      <c r="F8" s="18"/>
      <c r="G8" s="18">
        <f t="shared" si="0"/>
        <v>3000</v>
      </c>
      <c r="H8" s="18">
        <f>G8-I8</f>
        <v>1470</v>
      </c>
      <c r="I8" s="18">
        <f>J8</f>
        <v>1530</v>
      </c>
      <c r="J8" s="18">
        <v>1530</v>
      </c>
      <c r="K8" s="18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43"/>
      <c r="B9" s="46">
        <f>SUM(B7:B8)</f>
        <v>382980</v>
      </c>
      <c r="C9" s="76"/>
      <c r="D9" s="46">
        <f>SUM(D7:D8)</f>
        <v>0</v>
      </c>
      <c r="E9" s="76"/>
      <c r="F9" s="46">
        <f>SUM(F7:F8)</f>
        <v>0</v>
      </c>
      <c r="G9" s="46">
        <f>SUM(G7:G8)</f>
        <v>382980</v>
      </c>
      <c r="H9" s="46">
        <f t="shared" ref="H9:L9" si="1">SUM(H7:H8)</f>
        <v>3843</v>
      </c>
      <c r="I9" s="46">
        <f t="shared" si="1"/>
        <v>379137</v>
      </c>
      <c r="J9" s="46">
        <f t="shared" si="1"/>
        <v>379137</v>
      </c>
      <c r="K9" s="46">
        <f t="shared" si="1"/>
        <v>0</v>
      </c>
      <c r="L9" s="46">
        <f t="shared" si="1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35" t="s">
        <v>15</v>
      </c>
      <c r="B10" s="18"/>
      <c r="C10" s="75"/>
      <c r="D10" s="18"/>
      <c r="E10" s="75"/>
      <c r="F10" s="18"/>
      <c r="G10" s="18"/>
      <c r="H10" s="18"/>
      <c r="I10" s="18"/>
      <c r="J10" s="18"/>
      <c r="K10" s="18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16" t="s">
        <v>17</v>
      </c>
      <c r="B11" s="18">
        <v>516000</v>
      </c>
      <c r="C11" s="94" t="s">
        <v>383</v>
      </c>
      <c r="D11" s="18">
        <f>75000+8220</f>
        <v>83220</v>
      </c>
      <c r="E11" s="75"/>
      <c r="F11" s="18"/>
      <c r="G11" s="18">
        <f>B11+D11-F11</f>
        <v>599220</v>
      </c>
      <c r="H11" s="18">
        <f>G11-I11</f>
        <v>0</v>
      </c>
      <c r="I11" s="18">
        <f>J11</f>
        <v>599220</v>
      </c>
      <c r="J11" s="18">
        <v>599220</v>
      </c>
      <c r="K11" s="18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16" t="s">
        <v>18</v>
      </c>
      <c r="B12" s="18">
        <v>131760</v>
      </c>
      <c r="C12" s="94" t="s">
        <v>383</v>
      </c>
      <c r="D12" s="18">
        <f>21000+98730</f>
        <v>119730</v>
      </c>
      <c r="E12" s="75"/>
      <c r="F12" s="18"/>
      <c r="G12" s="18">
        <f>B12+D12</f>
        <v>251490</v>
      </c>
      <c r="H12" s="18">
        <f>G12-I12</f>
        <v>0</v>
      </c>
      <c r="I12" s="18">
        <f>J12</f>
        <v>251490</v>
      </c>
      <c r="J12" s="18">
        <v>251490</v>
      </c>
      <c r="K12" s="18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43"/>
      <c r="B13" s="46">
        <f>SUM(B11:B12)</f>
        <v>647760</v>
      </c>
      <c r="C13" s="76"/>
      <c r="D13" s="46">
        <f>SUM(D11:D12)</f>
        <v>202950</v>
      </c>
      <c r="E13" s="76"/>
      <c r="F13" s="46">
        <f>SUM(F11:F12)</f>
        <v>0</v>
      </c>
      <c r="G13" s="46">
        <f>SUM(G11:G12)</f>
        <v>850710</v>
      </c>
      <c r="H13" s="46">
        <f t="shared" ref="H13:L13" si="2">SUM(H11:H12)</f>
        <v>0</v>
      </c>
      <c r="I13" s="46">
        <f t="shared" si="2"/>
        <v>850710</v>
      </c>
      <c r="J13" s="46">
        <f t="shared" si="2"/>
        <v>850710</v>
      </c>
      <c r="K13" s="46">
        <f t="shared" si="2"/>
        <v>0</v>
      </c>
      <c r="L13" s="46">
        <f t="shared" si="2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35" t="s">
        <v>19</v>
      </c>
      <c r="B14" s="18"/>
      <c r="C14" s="75"/>
      <c r="D14" s="18"/>
      <c r="E14" s="75"/>
      <c r="F14" s="18"/>
      <c r="G14" s="18"/>
      <c r="H14" s="18"/>
      <c r="I14" s="18"/>
      <c r="J14" s="18"/>
      <c r="K14" s="18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24" t="s">
        <v>20</v>
      </c>
      <c r="B15" s="18">
        <v>10000</v>
      </c>
      <c r="C15" s="75" t="s">
        <v>385</v>
      </c>
      <c r="D15" s="18">
        <f>2000+1500</f>
        <v>3500</v>
      </c>
      <c r="E15" s="75"/>
      <c r="F15" s="18"/>
      <c r="G15" s="18">
        <f>B15+D15-F15</f>
        <v>13500</v>
      </c>
      <c r="H15" s="18">
        <f>G15-I15</f>
        <v>1375</v>
      </c>
      <c r="I15" s="18">
        <f>J15</f>
        <v>12125</v>
      </c>
      <c r="J15" s="18">
        <v>12125</v>
      </c>
      <c r="K15" s="18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16" t="s">
        <v>21</v>
      </c>
      <c r="B16" s="18">
        <v>10000</v>
      </c>
      <c r="C16" s="75"/>
      <c r="D16" s="18"/>
      <c r="E16" s="75" t="s">
        <v>385</v>
      </c>
      <c r="F16" s="18">
        <f>2000+1500</f>
        <v>3500</v>
      </c>
      <c r="G16" s="18">
        <f>B16+D16-F16</f>
        <v>6500</v>
      </c>
      <c r="H16" s="18">
        <f>G16-I16</f>
        <v>0</v>
      </c>
      <c r="I16" s="18">
        <f>J16</f>
        <v>6500</v>
      </c>
      <c r="J16" s="18">
        <v>6500</v>
      </c>
      <c r="K16" s="18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16" t="s">
        <v>24</v>
      </c>
      <c r="B17" s="18">
        <v>66000</v>
      </c>
      <c r="C17" s="75"/>
      <c r="D17" s="18"/>
      <c r="E17" s="75"/>
      <c r="F17" s="18"/>
      <c r="G17" s="18">
        <f>B17+D17-F17</f>
        <v>66000</v>
      </c>
      <c r="H17" s="18">
        <f>G17-I17</f>
        <v>5700</v>
      </c>
      <c r="I17" s="18">
        <f>J17</f>
        <v>60300</v>
      </c>
      <c r="J17" s="18">
        <v>60300</v>
      </c>
      <c r="K17" s="18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31"/>
      <c r="B18" s="32">
        <f>SUM(B15:B17)</f>
        <v>86000</v>
      </c>
      <c r="C18" s="77"/>
      <c r="D18" s="32">
        <f>SUM(D15:D17)</f>
        <v>3500</v>
      </c>
      <c r="E18" s="77"/>
      <c r="F18" s="32">
        <f>SUM(F15:F17)</f>
        <v>3500</v>
      </c>
      <c r="G18" s="32">
        <f>SUM(G15:G17)</f>
        <v>86000</v>
      </c>
      <c r="H18" s="32">
        <f>SUM(H15:H17)</f>
        <v>7075</v>
      </c>
      <c r="I18" s="32">
        <f t="shared" ref="I18:L18" si="3">SUM(I15:I17)</f>
        <v>78925</v>
      </c>
      <c r="J18" s="32">
        <f t="shared" si="3"/>
        <v>78925</v>
      </c>
      <c r="K18" s="32">
        <f t="shared" si="3"/>
        <v>0</v>
      </c>
      <c r="L18" s="32">
        <f t="shared" si="3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35" t="s">
        <v>25</v>
      </c>
      <c r="B19" s="18"/>
      <c r="C19" s="75"/>
      <c r="D19" s="18"/>
      <c r="E19" s="75"/>
      <c r="F19" s="18"/>
      <c r="G19" s="18"/>
      <c r="H19" s="18"/>
      <c r="I19" s="18"/>
      <c r="J19" s="18"/>
      <c r="K19" s="18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16" t="s">
        <v>26</v>
      </c>
      <c r="B20" s="18">
        <v>10000</v>
      </c>
      <c r="C20" s="75"/>
      <c r="D20" s="18"/>
      <c r="E20" s="75" t="s">
        <v>384</v>
      </c>
      <c r="F20" s="18">
        <v>10000</v>
      </c>
      <c r="G20" s="18">
        <f>B20+D20-F20</f>
        <v>0</v>
      </c>
      <c r="H20" s="101" t="s">
        <v>394</v>
      </c>
      <c r="I20" s="101" t="s">
        <v>394</v>
      </c>
      <c r="J20" s="101" t="s">
        <v>394</v>
      </c>
      <c r="K20" s="18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20"/>
      <c r="B21" s="21">
        <f>SUM(B20)</f>
        <v>10000</v>
      </c>
      <c r="C21" s="78"/>
      <c r="D21" s="21">
        <f>SUM(D20)</f>
        <v>0</v>
      </c>
      <c r="E21" s="78"/>
      <c r="F21" s="21">
        <f>SUM(F20)</f>
        <v>10000</v>
      </c>
      <c r="G21" s="21">
        <f>SUM(G20)</f>
        <v>0</v>
      </c>
      <c r="H21" s="21">
        <f t="shared" ref="H21:L21" si="4">SUM(H20)</f>
        <v>0</v>
      </c>
      <c r="I21" s="21">
        <f t="shared" si="4"/>
        <v>0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35" t="s">
        <v>27</v>
      </c>
      <c r="B22" s="18"/>
      <c r="C22" s="75"/>
      <c r="D22" s="18"/>
      <c r="E22" s="75"/>
      <c r="F22" s="18"/>
      <c r="G22" s="18"/>
      <c r="H22" s="18"/>
      <c r="I22" s="18"/>
      <c r="J22" s="18"/>
      <c r="K22" s="18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16" t="s">
        <v>28</v>
      </c>
      <c r="B23" s="18">
        <v>10000</v>
      </c>
      <c r="C23" s="75"/>
      <c r="D23" s="18"/>
      <c r="E23" s="75" t="s">
        <v>384</v>
      </c>
      <c r="F23" s="18">
        <v>10000</v>
      </c>
      <c r="G23" s="18">
        <f>B23+D23-F23</f>
        <v>0</v>
      </c>
      <c r="H23" s="101" t="s">
        <v>394</v>
      </c>
      <c r="I23" s="101" t="s">
        <v>394</v>
      </c>
      <c r="J23" s="101" t="s">
        <v>394</v>
      </c>
      <c r="K23" s="18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16" t="s">
        <v>29</v>
      </c>
      <c r="B24" s="18">
        <v>50000</v>
      </c>
      <c r="C24" s="75"/>
      <c r="D24" s="18"/>
      <c r="E24" s="75"/>
      <c r="F24" s="18"/>
      <c r="G24" s="18">
        <f t="shared" ref="G24:G26" si="5">B24+D24-F24</f>
        <v>50000</v>
      </c>
      <c r="H24" s="18">
        <f>G24</f>
        <v>50000</v>
      </c>
      <c r="I24" s="101" t="s">
        <v>394</v>
      </c>
      <c r="J24" s="101" t="s">
        <v>394</v>
      </c>
      <c r="K24" s="18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16" t="s">
        <v>30</v>
      </c>
      <c r="B25" s="18">
        <v>20000</v>
      </c>
      <c r="C25" s="75"/>
      <c r="D25" s="18"/>
      <c r="E25" s="75"/>
      <c r="F25" s="18"/>
      <c r="G25" s="18">
        <f t="shared" si="5"/>
        <v>20000</v>
      </c>
      <c r="H25" s="18">
        <f>G25</f>
        <v>20000</v>
      </c>
      <c r="I25" s="18"/>
      <c r="J25" s="18"/>
      <c r="K25" s="18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6" t="s">
        <v>100</v>
      </c>
      <c r="B26" s="18">
        <v>300000</v>
      </c>
      <c r="C26" s="75"/>
      <c r="D26" s="18"/>
      <c r="E26" s="75"/>
      <c r="F26" s="18"/>
      <c r="G26" s="18">
        <f t="shared" si="5"/>
        <v>300000</v>
      </c>
      <c r="H26" s="18">
        <f>G26</f>
        <v>300000</v>
      </c>
      <c r="I26" s="101" t="s">
        <v>394</v>
      </c>
      <c r="J26" s="18"/>
      <c r="K26" s="18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6" t="s">
        <v>31</v>
      </c>
      <c r="B27" s="18">
        <v>87000</v>
      </c>
      <c r="C27" s="75"/>
      <c r="D27" s="18"/>
      <c r="E27" s="75" t="s">
        <v>361</v>
      </c>
      <c r="F27" s="18">
        <v>27000</v>
      </c>
      <c r="G27" s="18">
        <f>B27+D27-F27</f>
        <v>60000</v>
      </c>
      <c r="H27" s="18">
        <f>G27-I27</f>
        <v>0</v>
      </c>
      <c r="I27" s="18">
        <f>K27</f>
        <v>60000</v>
      </c>
      <c r="J27" s="18"/>
      <c r="K27" s="18">
        <v>60000</v>
      </c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6" t="s">
        <v>32</v>
      </c>
      <c r="B28" s="18">
        <v>96000</v>
      </c>
      <c r="C28" s="75"/>
      <c r="D28" s="18"/>
      <c r="E28" s="75" t="s">
        <v>361</v>
      </c>
      <c r="F28" s="18">
        <v>13000</v>
      </c>
      <c r="G28" s="18">
        <f>B28+D28-F28</f>
        <v>83000</v>
      </c>
      <c r="H28" s="18">
        <f>G28-I28</f>
        <v>16000</v>
      </c>
      <c r="I28" s="18">
        <f>K28</f>
        <v>67000</v>
      </c>
      <c r="J28" s="18"/>
      <c r="K28" s="18">
        <v>67000</v>
      </c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6" t="s">
        <v>33</v>
      </c>
      <c r="B29" s="18">
        <v>80000</v>
      </c>
      <c r="C29" s="75"/>
      <c r="D29" s="18"/>
      <c r="E29" s="75" t="s">
        <v>350</v>
      </c>
      <c r="F29" s="18">
        <v>80000</v>
      </c>
      <c r="G29" s="18">
        <f>B29+D29-F29</f>
        <v>0</v>
      </c>
      <c r="H29" s="101" t="s">
        <v>394</v>
      </c>
      <c r="I29" s="101" t="s">
        <v>394</v>
      </c>
      <c r="J29" s="101"/>
      <c r="K29" s="101" t="s">
        <v>394</v>
      </c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16" t="s">
        <v>34</v>
      </c>
      <c r="B30" s="18">
        <v>50000</v>
      </c>
      <c r="C30" s="75"/>
      <c r="D30" s="18"/>
      <c r="E30" s="75"/>
      <c r="F30" s="18"/>
      <c r="G30" s="18">
        <f>B30+D30-F30</f>
        <v>50000</v>
      </c>
      <c r="H30" s="18">
        <f>G30-I30</f>
        <v>0</v>
      </c>
      <c r="I30" s="18">
        <f>K30</f>
        <v>50000</v>
      </c>
      <c r="J30" s="18"/>
      <c r="K30" s="18">
        <v>50000</v>
      </c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16" t="s">
        <v>35</v>
      </c>
      <c r="B31" s="18">
        <v>200000</v>
      </c>
      <c r="C31" s="75"/>
      <c r="D31" s="18"/>
      <c r="E31" s="75"/>
      <c r="F31" s="18"/>
      <c r="G31" s="18">
        <f>B31+D31-F31</f>
        <v>200000</v>
      </c>
      <c r="H31" s="18">
        <f>G31-I31</f>
        <v>80000</v>
      </c>
      <c r="I31" s="18">
        <f>K31</f>
        <v>120000</v>
      </c>
      <c r="J31" s="18"/>
      <c r="K31" s="18">
        <v>120000</v>
      </c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6"/>
      <c r="B32" s="8"/>
      <c r="C32" s="79"/>
      <c r="D32" s="10"/>
      <c r="E32" s="79"/>
      <c r="F32" s="10"/>
      <c r="G32" s="12" t="s">
        <v>3</v>
      </c>
      <c r="H32" s="13" t="s">
        <v>7</v>
      </c>
      <c r="I32" s="12" t="s">
        <v>8</v>
      </c>
      <c r="J32" s="153" t="s">
        <v>9</v>
      </c>
      <c r="K32" s="154"/>
      <c r="L32" s="155"/>
      <c r="M32" s="1">
        <v>9</v>
      </c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7" t="s">
        <v>12</v>
      </c>
      <c r="B33" s="9" t="s">
        <v>3</v>
      </c>
      <c r="C33" s="80"/>
      <c r="D33" s="11" t="s">
        <v>4</v>
      </c>
      <c r="E33" s="80"/>
      <c r="F33" s="11" t="s">
        <v>5</v>
      </c>
      <c r="G33" s="9" t="s">
        <v>6</v>
      </c>
      <c r="H33" s="9" t="s">
        <v>3</v>
      </c>
      <c r="I33" s="14"/>
      <c r="J33" s="15" t="s">
        <v>22</v>
      </c>
      <c r="K33" s="15" t="s">
        <v>23</v>
      </c>
      <c r="L33" s="56" t="s">
        <v>92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26" t="s">
        <v>65</v>
      </c>
      <c r="B34" s="18">
        <v>37000</v>
      </c>
      <c r="C34" s="75"/>
      <c r="D34" s="18"/>
      <c r="E34" s="75"/>
      <c r="F34" s="18"/>
      <c r="G34" s="18">
        <f>B34+D34-F34</f>
        <v>37000</v>
      </c>
      <c r="H34" s="18">
        <f>G34-I34</f>
        <v>0</v>
      </c>
      <c r="I34" s="18">
        <f>K34</f>
        <v>37000</v>
      </c>
      <c r="J34" s="18"/>
      <c r="K34" s="18">
        <v>37000</v>
      </c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20"/>
      <c r="B35" s="21">
        <f>SUM(B23:B34)</f>
        <v>930000</v>
      </c>
      <c r="C35" s="78"/>
      <c r="D35" s="21">
        <f>SUM(D23:D34)</f>
        <v>0</v>
      </c>
      <c r="E35" s="78"/>
      <c r="F35" s="21">
        <f t="shared" ref="F35:K35" si="6">SUM(F23:F34)</f>
        <v>130000</v>
      </c>
      <c r="G35" s="21">
        <f t="shared" si="6"/>
        <v>800000</v>
      </c>
      <c r="H35" s="21">
        <f t="shared" si="6"/>
        <v>466000</v>
      </c>
      <c r="I35" s="21">
        <f t="shared" si="6"/>
        <v>334000</v>
      </c>
      <c r="J35" s="21">
        <f t="shared" si="6"/>
        <v>0</v>
      </c>
      <c r="K35" s="21">
        <f t="shared" si="6"/>
        <v>334000</v>
      </c>
      <c r="L35" s="21">
        <f t="shared" ref="L35" si="7">SUM(L23:L34)</f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35" t="s">
        <v>42</v>
      </c>
      <c r="B36" s="18"/>
      <c r="C36" s="75"/>
      <c r="D36" s="18"/>
      <c r="E36" s="75"/>
      <c r="F36" s="18"/>
      <c r="G36" s="18"/>
      <c r="H36" s="18"/>
      <c r="I36" s="18"/>
      <c r="J36" s="18"/>
      <c r="K36" s="18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24" t="s">
        <v>43</v>
      </c>
      <c r="B37" s="25">
        <v>540000</v>
      </c>
      <c r="C37" s="81"/>
      <c r="D37" s="25"/>
      <c r="E37" s="81" t="s">
        <v>346</v>
      </c>
      <c r="F37" s="25">
        <v>60000</v>
      </c>
      <c r="G37" s="25">
        <f>B37+D37-F37</f>
        <v>480000</v>
      </c>
      <c r="H37" s="25">
        <f>G37-I37</f>
        <v>27001</v>
      </c>
      <c r="I37" s="103">
        <f>J37</f>
        <v>452999</v>
      </c>
      <c r="J37" s="25">
        <v>452999</v>
      </c>
      <c r="K37" s="2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29" t="s">
        <v>33</v>
      </c>
      <c r="B38" s="25"/>
      <c r="C38" s="81" t="s">
        <v>361</v>
      </c>
      <c r="D38" s="25">
        <v>35000</v>
      </c>
      <c r="E38" s="81"/>
      <c r="F38" s="25"/>
      <c r="G38" s="25">
        <f>B38+D38-F38</f>
        <v>35000</v>
      </c>
      <c r="H38" s="25">
        <f>G38-I38</f>
        <v>1000</v>
      </c>
      <c r="I38" s="25">
        <f>K38</f>
        <v>34000</v>
      </c>
      <c r="J38" s="25"/>
      <c r="K38" s="25">
        <v>34000</v>
      </c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44"/>
      <c r="B39" s="32">
        <f>SUM(B37:B38)</f>
        <v>540000</v>
      </c>
      <c r="C39" s="77"/>
      <c r="D39" s="32">
        <f>SUM(D37:D38)</f>
        <v>35000</v>
      </c>
      <c r="E39" s="77"/>
      <c r="F39" s="32">
        <f>SUM(F37:F38)</f>
        <v>60000</v>
      </c>
      <c r="G39" s="32">
        <f>SUM(G37:G38)</f>
        <v>515000</v>
      </c>
      <c r="H39" s="32">
        <f>SUM(H37:H38)</f>
        <v>28001</v>
      </c>
      <c r="I39" s="32">
        <f t="shared" ref="I39:L39" si="8">SUM(I37:I38)</f>
        <v>486999</v>
      </c>
      <c r="J39" s="32">
        <f t="shared" si="8"/>
        <v>452999</v>
      </c>
      <c r="K39" s="32">
        <f>SUM(K37:K38)</f>
        <v>34000</v>
      </c>
      <c r="L39" s="32">
        <f t="shared" si="8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35" t="s">
        <v>37</v>
      </c>
      <c r="B40" s="18"/>
      <c r="C40" s="75"/>
      <c r="D40" s="18"/>
      <c r="E40" s="75"/>
      <c r="F40" s="18"/>
      <c r="G40" s="18"/>
      <c r="H40" s="18"/>
      <c r="I40" s="18"/>
      <c r="J40" s="18"/>
      <c r="K40" s="18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24" t="s">
        <v>38</v>
      </c>
      <c r="B41" s="25">
        <v>100000</v>
      </c>
      <c r="C41" s="75" t="s">
        <v>384</v>
      </c>
      <c r="D41" s="18">
        <v>20000</v>
      </c>
      <c r="E41" s="75"/>
      <c r="F41" s="18"/>
      <c r="G41" s="18">
        <f>B41+D41-F41</f>
        <v>120000</v>
      </c>
      <c r="H41" s="18">
        <f>G41-I41</f>
        <v>12765</v>
      </c>
      <c r="I41" s="18">
        <f>J41</f>
        <v>107235</v>
      </c>
      <c r="J41" s="18">
        <v>107235</v>
      </c>
      <c r="K41" s="18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20"/>
      <c r="B42" s="21">
        <f>SUM(B41)</f>
        <v>100000</v>
      </c>
      <c r="C42" s="78"/>
      <c r="D42" s="21">
        <f>SUM(D41)</f>
        <v>20000</v>
      </c>
      <c r="E42" s="78"/>
      <c r="F42" s="21">
        <f>SUM(F41)</f>
        <v>0</v>
      </c>
      <c r="G42" s="21">
        <f>SUM(G41)</f>
        <v>120000</v>
      </c>
      <c r="H42" s="21">
        <f t="shared" ref="H42:L42" si="9">SUM(H41)</f>
        <v>12765</v>
      </c>
      <c r="I42" s="21">
        <f t="shared" si="9"/>
        <v>107235</v>
      </c>
      <c r="J42" s="21">
        <f>SUM(J41)</f>
        <v>107235</v>
      </c>
      <c r="K42" s="21">
        <f t="shared" si="9"/>
        <v>0</v>
      </c>
      <c r="L42" s="21">
        <f t="shared" si="9"/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83" t="s">
        <v>46</v>
      </c>
      <c r="B43" s="25"/>
      <c r="C43" s="75"/>
      <c r="D43" s="18"/>
      <c r="E43" s="75"/>
      <c r="F43" s="18"/>
      <c r="G43" s="18"/>
      <c r="H43" s="18"/>
      <c r="I43" s="18"/>
      <c r="J43" s="18"/>
      <c r="K43" s="18"/>
      <c r="L43" s="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6" t="s">
        <v>66</v>
      </c>
      <c r="B44" s="18">
        <v>76755</v>
      </c>
      <c r="C44" s="75" t="s">
        <v>334</v>
      </c>
      <c r="D44" s="18">
        <v>7675</v>
      </c>
      <c r="E44" s="75"/>
      <c r="F44" s="18"/>
      <c r="G44" s="18">
        <f>B44+D44-F44</f>
        <v>84430</v>
      </c>
      <c r="H44" s="18">
        <f>G44-I44</f>
        <v>9532.6199999999953</v>
      </c>
      <c r="I44" s="18">
        <f>K44</f>
        <v>74897.38</v>
      </c>
      <c r="J44" s="18"/>
      <c r="K44" s="18">
        <v>74897.38</v>
      </c>
      <c r="L44" s="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6" t="s">
        <v>67</v>
      </c>
      <c r="B45" s="18">
        <v>79218</v>
      </c>
      <c r="C45" s="75" t="s">
        <v>334</v>
      </c>
      <c r="D45" s="18">
        <v>7921</v>
      </c>
      <c r="E45" s="75"/>
      <c r="F45" s="18"/>
      <c r="G45" s="18">
        <f>B45+D45-F45</f>
        <v>87139</v>
      </c>
      <c r="H45" s="18">
        <f>G45-I45</f>
        <v>10285.770000000004</v>
      </c>
      <c r="I45" s="18">
        <f>K45</f>
        <v>76853.23</v>
      </c>
      <c r="J45" s="18"/>
      <c r="K45" s="18">
        <v>76853.23</v>
      </c>
      <c r="L45" s="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6" t="s">
        <v>335</v>
      </c>
      <c r="B46" s="18"/>
      <c r="C46" s="75" t="s">
        <v>334</v>
      </c>
      <c r="D46" s="18">
        <v>39164</v>
      </c>
      <c r="E46" s="75"/>
      <c r="F46" s="18"/>
      <c r="G46" s="18">
        <f>B46+D46-F46</f>
        <v>39164</v>
      </c>
      <c r="H46" s="18">
        <f>G46</f>
        <v>39164</v>
      </c>
      <c r="I46" s="101" t="s">
        <v>394</v>
      </c>
      <c r="J46" s="18"/>
      <c r="K46" s="101" t="s">
        <v>394</v>
      </c>
      <c r="L46" s="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31"/>
      <c r="B47" s="32">
        <f>SUM(B44:B46)</f>
        <v>155973</v>
      </c>
      <c r="C47" s="77"/>
      <c r="D47" s="32">
        <f>SUM(D44:D46)</f>
        <v>54760</v>
      </c>
      <c r="E47" s="77"/>
      <c r="F47" s="32">
        <f>SUM(F44:F46)</f>
        <v>0</v>
      </c>
      <c r="G47" s="32">
        <f>SUM(G44:G46)</f>
        <v>210733</v>
      </c>
      <c r="H47" s="32">
        <f>SUM(H44:H46)</f>
        <v>58982.39</v>
      </c>
      <c r="I47" s="32">
        <f>SUM(I44:I46)</f>
        <v>151750.60999999999</v>
      </c>
      <c r="J47" s="32">
        <f t="shared" ref="J47:L47" si="10">SUM(J44:J46)</f>
        <v>0</v>
      </c>
      <c r="K47" s="32">
        <f>SUM(K44:K46)</f>
        <v>151750.60999999999</v>
      </c>
      <c r="L47" s="32">
        <f t="shared" si="1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35" t="s">
        <v>49</v>
      </c>
      <c r="B48" s="18"/>
      <c r="C48" s="75"/>
      <c r="D48" s="18"/>
      <c r="E48" s="75"/>
      <c r="F48" s="18"/>
      <c r="G48" s="18"/>
      <c r="H48" s="18"/>
      <c r="I48" s="18"/>
      <c r="J48" s="18"/>
      <c r="K48" s="18"/>
      <c r="L48" s="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6" t="s">
        <v>50</v>
      </c>
      <c r="B49" s="18"/>
      <c r="C49" s="75"/>
      <c r="D49" s="18"/>
      <c r="E49" s="75"/>
      <c r="F49" s="18"/>
      <c r="G49" s="18"/>
      <c r="H49" s="18"/>
      <c r="I49" s="18"/>
      <c r="J49" s="18"/>
      <c r="K49" s="18"/>
      <c r="L49" s="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6" t="s">
        <v>51</v>
      </c>
      <c r="B50" s="18">
        <v>5000</v>
      </c>
      <c r="C50" s="75"/>
      <c r="D50" s="18"/>
      <c r="E50" s="75"/>
      <c r="F50" s="18"/>
      <c r="G50" s="18">
        <f t="shared" ref="G50:G51" si="11">B50+D50-F50</f>
        <v>5000</v>
      </c>
      <c r="H50" s="18">
        <f>G50+G51-I50</f>
        <v>3700</v>
      </c>
      <c r="I50" s="18">
        <f>K50</f>
        <v>6300</v>
      </c>
      <c r="J50" s="18"/>
      <c r="K50" s="18">
        <v>6300</v>
      </c>
      <c r="L50" s="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16" t="s">
        <v>52</v>
      </c>
      <c r="B51" s="18">
        <v>5000</v>
      </c>
      <c r="C51" s="75"/>
      <c r="D51" s="18"/>
      <c r="E51" s="75"/>
      <c r="F51" s="18"/>
      <c r="G51" s="18">
        <f t="shared" si="11"/>
        <v>5000</v>
      </c>
      <c r="H51" s="18"/>
      <c r="I51" s="18"/>
      <c r="J51" s="18"/>
      <c r="K51" s="18"/>
      <c r="L51" s="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16" t="s">
        <v>374</v>
      </c>
      <c r="B52" s="18"/>
      <c r="C52" s="75" t="s">
        <v>361</v>
      </c>
      <c r="D52" s="18">
        <v>25000</v>
      </c>
      <c r="E52" s="75"/>
      <c r="F52" s="18"/>
      <c r="G52" s="18">
        <f>B52+D52-F52</f>
        <v>25000</v>
      </c>
      <c r="H52" s="18">
        <f>G52</f>
        <v>25000</v>
      </c>
      <c r="I52" s="101" t="s">
        <v>394</v>
      </c>
      <c r="J52" s="101" t="s">
        <v>394</v>
      </c>
      <c r="K52" s="18"/>
      <c r="L52" s="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20"/>
      <c r="B53" s="21">
        <f>SUM(B50:B52)</f>
        <v>10000</v>
      </c>
      <c r="C53" s="78"/>
      <c r="D53" s="21">
        <f>SUM(D50:D52)</f>
        <v>25000</v>
      </c>
      <c r="E53" s="78"/>
      <c r="F53" s="21">
        <f>SUM(F50:F52)</f>
        <v>0</v>
      </c>
      <c r="G53" s="21">
        <f>SUM(G50:G52)</f>
        <v>35000</v>
      </c>
      <c r="H53" s="21">
        <f>SUM(H50:H52)</f>
        <v>28700</v>
      </c>
      <c r="I53" s="21">
        <f t="shared" ref="I53:L53" si="12">SUM(I50:I52)</f>
        <v>6300</v>
      </c>
      <c r="J53" s="21">
        <f t="shared" si="12"/>
        <v>0</v>
      </c>
      <c r="K53" s="21">
        <f t="shared" si="12"/>
        <v>6300</v>
      </c>
      <c r="L53" s="21">
        <f t="shared" si="12"/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35" t="s">
        <v>53</v>
      </c>
      <c r="B54" s="18"/>
      <c r="C54" s="75"/>
      <c r="D54" s="18"/>
      <c r="E54" s="75"/>
      <c r="F54" s="18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16" t="s">
        <v>54</v>
      </c>
      <c r="B55" s="18">
        <v>217000</v>
      </c>
      <c r="C55" s="75"/>
      <c r="D55" s="18"/>
      <c r="E55" s="75"/>
      <c r="F55" s="18"/>
      <c r="G55" s="18">
        <f>B55+D55-F55</f>
        <v>217000</v>
      </c>
      <c r="H55" s="18">
        <f>G55-I55</f>
        <v>67000</v>
      </c>
      <c r="I55" s="18">
        <f>L55</f>
        <v>150000</v>
      </c>
      <c r="J55" s="18"/>
      <c r="K55" s="18"/>
      <c r="L55" s="18">
        <v>150000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24" t="s">
        <v>55</v>
      </c>
      <c r="B56" s="25">
        <v>37000</v>
      </c>
      <c r="C56" s="81"/>
      <c r="D56" s="25"/>
      <c r="E56" s="81"/>
      <c r="F56" s="25"/>
      <c r="G56" s="18">
        <f t="shared" ref="G56:G58" si="13">B56+D56-F56</f>
        <v>37000</v>
      </c>
      <c r="H56" s="25">
        <f>G56</f>
        <v>37000</v>
      </c>
      <c r="I56" s="102" t="s">
        <v>394</v>
      </c>
      <c r="J56" s="102"/>
      <c r="K56" s="102"/>
      <c r="L56" s="101" t="s">
        <v>394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26" t="s">
        <v>56</v>
      </c>
      <c r="B57" s="18">
        <v>198000</v>
      </c>
      <c r="C57" s="75"/>
      <c r="D57" s="18"/>
      <c r="E57" s="75"/>
      <c r="F57" s="18"/>
      <c r="G57" s="18">
        <f t="shared" si="13"/>
        <v>198000</v>
      </c>
      <c r="H57" s="18">
        <f>G57</f>
        <v>198000</v>
      </c>
      <c r="I57" s="102" t="s">
        <v>394</v>
      </c>
      <c r="J57" s="18"/>
      <c r="K57" s="18"/>
      <c r="L57" s="102" t="s">
        <v>394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6" t="s">
        <v>348</v>
      </c>
      <c r="B58" s="18">
        <v>163000</v>
      </c>
      <c r="C58" s="75"/>
      <c r="D58" s="18"/>
      <c r="E58" s="75"/>
      <c r="F58" s="18"/>
      <c r="G58" s="18">
        <f t="shared" si="13"/>
        <v>163000</v>
      </c>
      <c r="H58" s="18">
        <f>G58</f>
        <v>163000</v>
      </c>
      <c r="I58" s="102" t="s">
        <v>394</v>
      </c>
      <c r="J58" s="18"/>
      <c r="K58" s="18"/>
      <c r="L58" s="102" t="s">
        <v>394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6" t="s">
        <v>57</v>
      </c>
      <c r="B59" s="18">
        <v>12000</v>
      </c>
      <c r="C59" s="75"/>
      <c r="D59" s="18"/>
      <c r="E59" s="75" t="s">
        <v>361</v>
      </c>
      <c r="F59" s="18">
        <v>200</v>
      </c>
      <c r="G59" s="18">
        <f t="shared" ref="G59:G64" si="14">B59+D59-F59</f>
        <v>11800</v>
      </c>
      <c r="H59" s="18">
        <f>G59-I59</f>
        <v>0</v>
      </c>
      <c r="I59" s="18">
        <f>L59</f>
        <v>11800</v>
      </c>
      <c r="J59" s="18"/>
      <c r="K59" s="18"/>
      <c r="L59" s="18">
        <v>11800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6" t="s">
        <v>58</v>
      </c>
      <c r="B60" s="18">
        <v>13000</v>
      </c>
      <c r="C60" s="75"/>
      <c r="D60" s="18"/>
      <c r="E60" s="75" t="s">
        <v>361</v>
      </c>
      <c r="F60" s="18">
        <v>300</v>
      </c>
      <c r="G60" s="18">
        <f t="shared" si="14"/>
        <v>12700</v>
      </c>
      <c r="H60" s="18">
        <f>G60-I60</f>
        <v>0</v>
      </c>
      <c r="I60" s="18">
        <f>L60</f>
        <v>12700</v>
      </c>
      <c r="J60" s="18"/>
      <c r="K60" s="18"/>
      <c r="L60" s="18">
        <v>12700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6" t="s">
        <v>59</v>
      </c>
      <c r="B61" s="18">
        <v>60000</v>
      </c>
      <c r="C61" s="75"/>
      <c r="D61" s="18"/>
      <c r="E61" s="75" t="s">
        <v>350</v>
      </c>
      <c r="F61" s="18">
        <v>60000</v>
      </c>
      <c r="G61" s="18">
        <f t="shared" si="14"/>
        <v>0</v>
      </c>
      <c r="H61" s="101" t="s">
        <v>394</v>
      </c>
      <c r="I61" s="101" t="s">
        <v>394</v>
      </c>
      <c r="J61" s="101"/>
      <c r="K61" s="101"/>
      <c r="L61" s="101" t="s">
        <v>394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6" t="s">
        <v>60</v>
      </c>
      <c r="B62" s="18">
        <v>343200</v>
      </c>
      <c r="C62" s="75"/>
      <c r="D62" s="18"/>
      <c r="E62" s="75" t="s">
        <v>350</v>
      </c>
      <c r="F62" s="18">
        <v>73200</v>
      </c>
      <c r="G62" s="18">
        <f t="shared" si="14"/>
        <v>270000</v>
      </c>
      <c r="H62" s="18">
        <f>G62-I62</f>
        <v>33820</v>
      </c>
      <c r="I62" s="18">
        <f>L62</f>
        <v>236180</v>
      </c>
      <c r="J62" s="18"/>
      <c r="K62" s="18"/>
      <c r="L62" s="18">
        <v>236180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6" t="s">
        <v>61</v>
      </c>
      <c r="B63" s="18">
        <v>6000</v>
      </c>
      <c r="C63" s="75"/>
      <c r="D63" s="18"/>
      <c r="E63" s="75" t="s">
        <v>361</v>
      </c>
      <c r="F63" s="18">
        <v>500</v>
      </c>
      <c r="G63" s="18">
        <f t="shared" si="14"/>
        <v>5500</v>
      </c>
      <c r="H63" s="18">
        <f>G63-I63</f>
        <v>0</v>
      </c>
      <c r="I63" s="18">
        <f>L63</f>
        <v>5500</v>
      </c>
      <c r="J63" s="18"/>
      <c r="K63" s="18"/>
      <c r="L63" s="18">
        <v>5500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6" t="s">
        <v>62</v>
      </c>
      <c r="B64" s="18">
        <v>50000</v>
      </c>
      <c r="C64" s="75"/>
      <c r="D64" s="18"/>
      <c r="E64" s="75">
        <v>1</v>
      </c>
      <c r="F64" s="18">
        <v>50000</v>
      </c>
      <c r="G64" s="18">
        <f t="shared" si="14"/>
        <v>0</v>
      </c>
      <c r="H64" s="101" t="s">
        <v>394</v>
      </c>
      <c r="I64" s="101" t="s">
        <v>394</v>
      </c>
      <c r="J64" s="101"/>
      <c r="K64" s="101"/>
      <c r="L64" s="101" t="s">
        <v>394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6" t="s">
        <v>63</v>
      </c>
      <c r="B65" s="18">
        <v>62000</v>
      </c>
      <c r="C65" s="75"/>
      <c r="D65" s="18"/>
      <c r="E65" s="75" t="s">
        <v>334</v>
      </c>
      <c r="F65" s="18">
        <v>62000</v>
      </c>
      <c r="G65" s="18">
        <f t="shared" ref="G65:G66" si="15">B65+D65-F65</f>
        <v>0</v>
      </c>
      <c r="H65" s="101" t="s">
        <v>394</v>
      </c>
      <c r="I65" s="101" t="s">
        <v>394</v>
      </c>
      <c r="J65" s="101"/>
      <c r="K65" s="101"/>
      <c r="L65" s="101" t="s">
        <v>394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6" t="s">
        <v>64</v>
      </c>
      <c r="B66" s="18">
        <v>98000</v>
      </c>
      <c r="C66" s="16"/>
      <c r="D66" s="74"/>
      <c r="E66" s="16" t="s">
        <v>334</v>
      </c>
      <c r="F66" s="18">
        <v>98000</v>
      </c>
      <c r="G66" s="18">
        <f t="shared" si="15"/>
        <v>0</v>
      </c>
      <c r="H66" s="104" t="s">
        <v>394</v>
      </c>
      <c r="I66" s="104" t="s">
        <v>394</v>
      </c>
      <c r="J66" s="104"/>
      <c r="K66" s="104"/>
      <c r="L66" s="101" t="s">
        <v>394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6" t="s">
        <v>354</v>
      </c>
      <c r="B67" s="18"/>
      <c r="C67" s="16" t="s">
        <v>350</v>
      </c>
      <c r="D67" s="74">
        <v>300000</v>
      </c>
      <c r="E67" s="16"/>
      <c r="F67" s="18"/>
      <c r="G67" s="18">
        <f>B67+D67-F67</f>
        <v>300000</v>
      </c>
      <c r="H67" s="74">
        <f>G67</f>
        <v>300000</v>
      </c>
      <c r="I67" s="104" t="s">
        <v>394</v>
      </c>
      <c r="J67" s="5"/>
      <c r="K67" s="5"/>
      <c r="L67" s="104" t="s">
        <v>394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6" t="s">
        <v>353</v>
      </c>
      <c r="B68" s="18"/>
      <c r="C68" s="18" t="s">
        <v>350</v>
      </c>
      <c r="D68" s="18">
        <v>431250</v>
      </c>
      <c r="E68" s="18"/>
      <c r="F68" s="18"/>
      <c r="G68" s="18">
        <f>B68+D68-F68</f>
        <v>431250</v>
      </c>
      <c r="H68" s="18">
        <f>G68-I68</f>
        <v>194466.41</v>
      </c>
      <c r="I68" s="18">
        <f>K68</f>
        <v>236783.59</v>
      </c>
      <c r="J68" s="18"/>
      <c r="K68" s="18">
        <v>236783.59</v>
      </c>
      <c r="L68" s="1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27"/>
      <c r="B69" s="8"/>
      <c r="C69" s="79"/>
      <c r="D69" s="10"/>
      <c r="E69" s="79"/>
      <c r="F69" s="10"/>
      <c r="G69" s="12" t="s">
        <v>3</v>
      </c>
      <c r="H69" s="13" t="s">
        <v>7</v>
      </c>
      <c r="I69" s="12" t="s">
        <v>8</v>
      </c>
      <c r="J69" s="153" t="s">
        <v>9</v>
      </c>
      <c r="K69" s="154"/>
      <c r="L69" s="155"/>
      <c r="M69" s="1">
        <v>10</v>
      </c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28" t="s">
        <v>12</v>
      </c>
      <c r="B70" s="9" t="s">
        <v>3</v>
      </c>
      <c r="C70" s="80"/>
      <c r="D70" s="11" t="s">
        <v>4</v>
      </c>
      <c r="E70" s="80"/>
      <c r="F70" s="11" t="s">
        <v>5</v>
      </c>
      <c r="G70" s="9" t="s">
        <v>6</v>
      </c>
      <c r="H70" s="9" t="s">
        <v>3</v>
      </c>
      <c r="I70" s="14"/>
      <c r="J70" s="15" t="s">
        <v>22</v>
      </c>
      <c r="K70" s="15" t="s">
        <v>23</v>
      </c>
      <c r="L70" s="56" t="s">
        <v>92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29" t="s">
        <v>68</v>
      </c>
      <c r="B71" s="25">
        <v>290000</v>
      </c>
      <c r="C71" s="81"/>
      <c r="D71" s="25"/>
      <c r="E71" s="81" t="s">
        <v>350</v>
      </c>
      <c r="F71" s="25">
        <v>290000</v>
      </c>
      <c r="G71" s="25">
        <f t="shared" ref="G71:G77" si="16">B71+D71-F71</f>
        <v>0</v>
      </c>
      <c r="H71" s="102" t="s">
        <v>394</v>
      </c>
      <c r="I71" s="105" t="s">
        <v>394</v>
      </c>
      <c r="J71" s="102"/>
      <c r="K71" s="102" t="s">
        <v>394</v>
      </c>
      <c r="L71" s="10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26" t="s">
        <v>69</v>
      </c>
      <c r="B72" s="18">
        <v>182250</v>
      </c>
      <c r="C72" s="75"/>
      <c r="D72" s="18"/>
      <c r="E72" s="75" t="s">
        <v>350</v>
      </c>
      <c r="F72" s="18">
        <v>182250</v>
      </c>
      <c r="G72" s="18">
        <f t="shared" si="16"/>
        <v>0</v>
      </c>
      <c r="H72" s="101" t="s">
        <v>394</v>
      </c>
      <c r="I72" s="101" t="s">
        <v>394</v>
      </c>
      <c r="J72" s="101"/>
      <c r="K72" s="101" t="s">
        <v>394</v>
      </c>
      <c r="L72" s="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26" t="s">
        <v>70</v>
      </c>
      <c r="B73" s="18">
        <v>120600</v>
      </c>
      <c r="C73" s="75"/>
      <c r="D73" s="18"/>
      <c r="E73" s="75"/>
      <c r="F73" s="18"/>
      <c r="G73" s="18">
        <f t="shared" si="16"/>
        <v>120600</v>
      </c>
      <c r="H73" s="18">
        <f>G73-I73</f>
        <v>600</v>
      </c>
      <c r="I73" s="18">
        <f>K73</f>
        <v>120000</v>
      </c>
      <c r="J73" s="18"/>
      <c r="K73" s="18">
        <v>120000</v>
      </c>
      <c r="L73" s="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26" t="s">
        <v>71</v>
      </c>
      <c r="B74" s="18">
        <v>1200000</v>
      </c>
      <c r="C74" s="75">
        <v>1</v>
      </c>
      <c r="D74" s="18">
        <v>330000</v>
      </c>
      <c r="E74" s="75"/>
      <c r="F74" s="18"/>
      <c r="G74" s="18">
        <f t="shared" si="16"/>
        <v>1530000</v>
      </c>
      <c r="H74" s="18">
        <f>G74-I74</f>
        <v>690000</v>
      </c>
      <c r="I74" s="18">
        <f>K74</f>
        <v>840000</v>
      </c>
      <c r="J74" s="18"/>
      <c r="K74" s="18">
        <v>840000</v>
      </c>
      <c r="L74" s="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26" t="s">
        <v>74</v>
      </c>
      <c r="B75" s="18">
        <v>277000</v>
      </c>
      <c r="C75" s="75"/>
      <c r="D75" s="18"/>
      <c r="E75" s="75" t="s">
        <v>334</v>
      </c>
      <c r="F75" s="18">
        <v>277000</v>
      </c>
      <c r="G75" s="18">
        <f t="shared" si="16"/>
        <v>0</v>
      </c>
      <c r="H75" s="101" t="s">
        <v>394</v>
      </c>
      <c r="I75" s="101" t="s">
        <v>394</v>
      </c>
      <c r="J75" s="18"/>
      <c r="K75" s="101" t="s">
        <v>394</v>
      </c>
      <c r="L75" s="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26" t="s">
        <v>82</v>
      </c>
      <c r="B76" s="18">
        <v>95000</v>
      </c>
      <c r="C76" s="75"/>
      <c r="D76" s="18"/>
      <c r="E76" s="75"/>
      <c r="F76" s="18"/>
      <c r="G76" s="18">
        <f t="shared" si="16"/>
        <v>95000</v>
      </c>
      <c r="H76" s="101">
        <f>G76-I76</f>
        <v>0</v>
      </c>
      <c r="I76" s="18">
        <f>K76</f>
        <v>95000</v>
      </c>
      <c r="J76" s="18"/>
      <c r="K76" s="18">
        <v>95000</v>
      </c>
      <c r="L76" s="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26" t="s">
        <v>83</v>
      </c>
      <c r="B77" s="18">
        <v>200000</v>
      </c>
      <c r="C77" s="75"/>
      <c r="D77" s="18"/>
      <c r="E77" s="75" t="s">
        <v>350</v>
      </c>
      <c r="F77" s="18">
        <v>200000</v>
      </c>
      <c r="G77" s="18">
        <f t="shared" si="16"/>
        <v>0</v>
      </c>
      <c r="H77" s="101" t="s">
        <v>394</v>
      </c>
      <c r="I77" s="101" t="s">
        <v>394</v>
      </c>
      <c r="J77" s="18"/>
      <c r="K77" s="101" t="s">
        <v>394</v>
      </c>
      <c r="L77" s="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34" t="s">
        <v>84</v>
      </c>
      <c r="B78" s="25">
        <v>80000</v>
      </c>
      <c r="C78" s="81"/>
      <c r="D78" s="25"/>
      <c r="E78" s="81"/>
      <c r="F78" s="25"/>
      <c r="G78" s="18">
        <f t="shared" ref="G78:G79" si="17">B78+D78-F78</f>
        <v>80000</v>
      </c>
      <c r="H78" s="25">
        <f>G78-I78</f>
        <v>0</v>
      </c>
      <c r="I78" s="25">
        <f>K78</f>
        <v>80000</v>
      </c>
      <c r="J78" s="25"/>
      <c r="K78" s="25">
        <v>80000</v>
      </c>
      <c r="L78" s="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26" t="s">
        <v>85</v>
      </c>
      <c r="B79" s="18">
        <v>12000</v>
      </c>
      <c r="C79" s="75"/>
      <c r="D79" s="18"/>
      <c r="E79" s="75"/>
      <c r="F79" s="18"/>
      <c r="G79" s="18">
        <f t="shared" si="17"/>
        <v>12000</v>
      </c>
      <c r="H79" s="18">
        <f>G79-I79</f>
        <v>0</v>
      </c>
      <c r="I79" s="18">
        <f>K79</f>
        <v>12000</v>
      </c>
      <c r="J79" s="18"/>
      <c r="K79" s="18">
        <v>12000</v>
      </c>
      <c r="L79" s="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26" t="s">
        <v>365</v>
      </c>
      <c r="B80" s="18"/>
      <c r="C80" s="75" t="s">
        <v>361</v>
      </c>
      <c r="D80" s="18">
        <v>90000</v>
      </c>
      <c r="E80" s="75"/>
      <c r="F80" s="18"/>
      <c r="G80" s="18">
        <f>B80+D80-F80</f>
        <v>90000</v>
      </c>
      <c r="H80" s="18">
        <f>G80</f>
        <v>90000</v>
      </c>
      <c r="I80" s="101" t="s">
        <v>394</v>
      </c>
      <c r="J80" s="101"/>
      <c r="K80" s="101"/>
      <c r="L80" s="104" t="s">
        <v>394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45"/>
      <c r="B81" s="21">
        <f>SUM(B55:B80)</f>
        <v>3716050</v>
      </c>
      <c r="C81" s="78"/>
      <c r="D81" s="21">
        <f>SUM(D55:D80)</f>
        <v>1151250</v>
      </c>
      <c r="E81" s="78"/>
      <c r="F81" s="21">
        <f t="shared" ref="F81:L81" si="18">SUM(F55:F80)</f>
        <v>1293450</v>
      </c>
      <c r="G81" s="21">
        <f t="shared" si="18"/>
        <v>3573850</v>
      </c>
      <c r="H81" s="21">
        <f t="shared" si="18"/>
        <v>1773886.4100000001</v>
      </c>
      <c r="I81" s="21">
        <f t="shared" si="18"/>
        <v>1799963.5899999999</v>
      </c>
      <c r="J81" s="21">
        <f t="shared" si="18"/>
        <v>0</v>
      </c>
      <c r="K81" s="21">
        <f t="shared" si="18"/>
        <v>1383783.5899999999</v>
      </c>
      <c r="L81" s="21">
        <f t="shared" si="18"/>
        <v>416180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35" t="s">
        <v>356</v>
      </c>
      <c r="B82" s="18"/>
      <c r="C82" s="75"/>
      <c r="D82" s="18"/>
      <c r="E82" s="75"/>
      <c r="F82" s="18"/>
      <c r="G82" s="18"/>
      <c r="H82" s="18"/>
      <c r="I82" s="18"/>
      <c r="J82" s="18"/>
      <c r="K82" s="18"/>
      <c r="L82" s="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26" t="s">
        <v>367</v>
      </c>
      <c r="B83" s="18"/>
      <c r="C83" s="75" t="s">
        <v>361</v>
      </c>
      <c r="D83" s="18">
        <v>30000</v>
      </c>
      <c r="E83" s="75"/>
      <c r="F83" s="18"/>
      <c r="G83" s="18">
        <f>B83+D83-F83</f>
        <v>30000</v>
      </c>
      <c r="H83" s="18">
        <f>G83</f>
        <v>30000</v>
      </c>
      <c r="I83" s="101" t="s">
        <v>394</v>
      </c>
      <c r="J83" s="101"/>
      <c r="K83" s="101"/>
      <c r="L83" s="104" t="s">
        <v>394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26" t="s">
        <v>73</v>
      </c>
      <c r="B84" s="18">
        <v>106000</v>
      </c>
      <c r="C84" s="75" t="s">
        <v>334</v>
      </c>
      <c r="D84" s="18">
        <v>121000</v>
      </c>
      <c r="E84" s="75"/>
      <c r="F84" s="18"/>
      <c r="G84" s="18">
        <f>B84+D84-F84</f>
        <v>227000</v>
      </c>
      <c r="H84" s="18">
        <f>G84</f>
        <v>227000</v>
      </c>
      <c r="I84" s="101" t="s">
        <v>394</v>
      </c>
      <c r="J84" s="101"/>
      <c r="K84" s="101" t="s">
        <v>394</v>
      </c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26" t="s">
        <v>72</v>
      </c>
      <c r="B85" s="25">
        <v>200000</v>
      </c>
      <c r="C85" s="81"/>
      <c r="D85" s="25"/>
      <c r="E85" s="75"/>
      <c r="F85" s="18"/>
      <c r="G85" s="18">
        <f>B85+D85-F85</f>
        <v>200000</v>
      </c>
      <c r="H85" s="18">
        <f>G85</f>
        <v>200000</v>
      </c>
      <c r="I85" s="101" t="s">
        <v>394</v>
      </c>
      <c r="J85" s="101"/>
      <c r="K85" s="101" t="s">
        <v>394</v>
      </c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6" t="s">
        <v>355</v>
      </c>
      <c r="B86" s="18"/>
      <c r="C86" s="75" t="s">
        <v>350</v>
      </c>
      <c r="D86" s="18">
        <v>281000</v>
      </c>
      <c r="E86" s="75"/>
      <c r="F86" s="18"/>
      <c r="G86" s="18">
        <f>B86+D86-F86</f>
        <v>281000</v>
      </c>
      <c r="H86" s="18">
        <f>G86</f>
        <v>281000</v>
      </c>
      <c r="I86" s="18"/>
      <c r="J86" s="18"/>
      <c r="K86" s="18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51"/>
      <c r="B87" s="32">
        <f>SUM(B83:B86)</f>
        <v>306000</v>
      </c>
      <c r="C87" s="77"/>
      <c r="D87" s="32">
        <f>SUM(D83:D86)</f>
        <v>432000</v>
      </c>
      <c r="E87" s="77"/>
      <c r="F87" s="32">
        <f>SUM(F83:F86)</f>
        <v>0</v>
      </c>
      <c r="G87" s="32">
        <f>SUM(G83:G86)</f>
        <v>738000</v>
      </c>
      <c r="H87" s="32">
        <f t="shared" ref="H87:L87" si="19">SUM(H83:H86)</f>
        <v>738000</v>
      </c>
      <c r="I87" s="32">
        <f t="shared" si="19"/>
        <v>0</v>
      </c>
      <c r="J87" s="32">
        <f t="shared" si="19"/>
        <v>0</v>
      </c>
      <c r="K87" s="32">
        <f t="shared" si="19"/>
        <v>0</v>
      </c>
      <c r="L87" s="32">
        <f t="shared" si="19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48" t="s">
        <v>89</v>
      </c>
      <c r="B88" s="49">
        <f>B9+B13+B18+B39+B47+B87</f>
        <v>2118713</v>
      </c>
      <c r="C88" s="31"/>
      <c r="D88" s="49">
        <f>D9+D13+D18+D39+D47+D87</f>
        <v>728210</v>
      </c>
      <c r="E88" s="31"/>
      <c r="F88" s="49">
        <f t="shared" ref="F88:L88" si="20">F9+F13+F18+F39+F47+F87</f>
        <v>63500</v>
      </c>
      <c r="G88" s="49">
        <f t="shared" si="20"/>
        <v>2783423</v>
      </c>
      <c r="H88" s="49">
        <f t="shared" si="20"/>
        <v>835901.39</v>
      </c>
      <c r="I88" s="49">
        <f t="shared" si="20"/>
        <v>1947521.6099999999</v>
      </c>
      <c r="J88" s="49">
        <f t="shared" si="20"/>
        <v>1761771</v>
      </c>
      <c r="K88" s="49">
        <f t="shared" si="20"/>
        <v>185750.61</v>
      </c>
      <c r="L88" s="49">
        <f t="shared" si="20"/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39" t="s">
        <v>90</v>
      </c>
      <c r="B89" s="41">
        <f>B21+B35+B42+B53+B81</f>
        <v>4766050</v>
      </c>
      <c r="C89" s="20"/>
      <c r="D89" s="41">
        <f>D21+D35+D42+D53+D81</f>
        <v>1196250</v>
      </c>
      <c r="E89" s="20"/>
      <c r="F89" s="41">
        <f t="shared" ref="F89:L89" si="21">F21+F35+F42+F53+F81</f>
        <v>1433450</v>
      </c>
      <c r="G89" s="41">
        <f t="shared" si="21"/>
        <v>4528850</v>
      </c>
      <c r="H89" s="41">
        <f t="shared" si="21"/>
        <v>2281351.41</v>
      </c>
      <c r="I89" s="41">
        <f t="shared" si="21"/>
        <v>2247498.59</v>
      </c>
      <c r="J89" s="41">
        <f t="shared" si="21"/>
        <v>107235</v>
      </c>
      <c r="K89" s="41">
        <f t="shared" si="21"/>
        <v>1724083.5899999999</v>
      </c>
      <c r="L89" s="41">
        <f t="shared" si="21"/>
        <v>416180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40" t="s">
        <v>91</v>
      </c>
      <c r="B90" s="42">
        <f>B88+B89</f>
        <v>6884763</v>
      </c>
      <c r="C90" s="22"/>
      <c r="D90" s="42">
        <f>D88+D89</f>
        <v>1924460</v>
      </c>
      <c r="E90" s="22"/>
      <c r="F90" s="42">
        <f>F88+F89</f>
        <v>1496950</v>
      </c>
      <c r="G90" s="42">
        <f>G88+G89</f>
        <v>7312273</v>
      </c>
      <c r="H90" s="42">
        <f>H88+H89</f>
        <v>3117252.8000000003</v>
      </c>
      <c r="I90" s="42">
        <f>I88+I89</f>
        <v>4195020.1999999993</v>
      </c>
      <c r="J90" s="42">
        <f t="shared" ref="J90:L90" si="22">J88+J89</f>
        <v>1869006</v>
      </c>
      <c r="K90" s="42">
        <f>K88+K89</f>
        <v>1909834.1999999997</v>
      </c>
      <c r="L90" s="42">
        <f t="shared" si="22"/>
        <v>416180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26"/>
      <c r="B91" s="18"/>
      <c r="C91" s="18"/>
      <c r="D91" s="18"/>
      <c r="E91" s="75"/>
      <c r="F91" s="18"/>
      <c r="G91" s="18"/>
      <c r="H91" s="18"/>
      <c r="I91" s="18"/>
      <c r="J91" s="18"/>
      <c r="K91" s="18"/>
      <c r="L91" s="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26"/>
      <c r="B92" s="18"/>
      <c r="C92" s="18"/>
      <c r="D92" s="18"/>
      <c r="E92" s="75"/>
      <c r="F92" s="18"/>
      <c r="G92" s="18"/>
      <c r="H92" s="18"/>
      <c r="I92" s="18"/>
      <c r="J92" s="18"/>
      <c r="K92" s="18"/>
      <c r="L92" s="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26"/>
      <c r="B93" s="18"/>
      <c r="C93" s="18"/>
      <c r="D93" s="18"/>
      <c r="E93" s="75"/>
      <c r="F93" s="18"/>
      <c r="G93" s="18"/>
      <c r="H93" s="18"/>
      <c r="I93" s="18"/>
      <c r="J93" s="18"/>
      <c r="K93" s="18"/>
      <c r="L93" s="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26"/>
      <c r="B94" s="18"/>
      <c r="C94" s="18"/>
      <c r="D94" s="18"/>
      <c r="E94" s="75"/>
      <c r="F94" s="18"/>
      <c r="G94" s="18"/>
      <c r="H94" s="18"/>
      <c r="I94" s="18"/>
      <c r="J94" s="18"/>
      <c r="K94" s="18"/>
      <c r="L94" s="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26"/>
      <c r="B95" s="18"/>
      <c r="C95" s="18"/>
      <c r="D95" s="18"/>
      <c r="E95" s="75"/>
      <c r="F95" s="18"/>
      <c r="G95" s="18"/>
      <c r="H95" s="18"/>
      <c r="I95" s="18"/>
      <c r="J95" s="18"/>
      <c r="K95" s="18"/>
      <c r="L95" s="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26"/>
      <c r="B96" s="18"/>
      <c r="C96" s="18"/>
      <c r="D96" s="18"/>
      <c r="E96" s="75"/>
      <c r="F96" s="18"/>
      <c r="G96" s="18"/>
      <c r="H96" s="18"/>
      <c r="I96" s="18"/>
      <c r="J96" s="18"/>
      <c r="K96" s="18"/>
      <c r="L96" s="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26"/>
      <c r="B97" s="18"/>
      <c r="C97" s="18"/>
      <c r="D97" s="18"/>
      <c r="E97" s="75"/>
      <c r="F97" s="18"/>
      <c r="G97" s="18"/>
      <c r="H97" s="18"/>
      <c r="I97" s="18"/>
      <c r="J97" s="18"/>
      <c r="K97" s="18"/>
      <c r="L97" s="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26"/>
      <c r="B98" s="5"/>
      <c r="C98" s="5"/>
      <c r="D98" s="5"/>
      <c r="E98" s="16"/>
      <c r="F98" s="5"/>
      <c r="G98" s="5"/>
      <c r="H98" s="5"/>
      <c r="I98" s="5"/>
      <c r="J98" s="5"/>
      <c r="K98" s="5"/>
      <c r="L98" s="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26"/>
      <c r="B99" s="5"/>
      <c r="C99" s="5"/>
      <c r="D99" s="5"/>
      <c r="E99" s="16"/>
      <c r="F99" s="5"/>
      <c r="G99" s="5"/>
      <c r="H99" s="5"/>
      <c r="I99" s="5"/>
      <c r="J99" s="5"/>
      <c r="K99" s="5"/>
      <c r="L99" s="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26"/>
      <c r="B100" s="5"/>
      <c r="C100" s="5"/>
      <c r="D100" s="5"/>
      <c r="E100" s="16"/>
      <c r="F100" s="5"/>
      <c r="G100" s="5"/>
      <c r="H100" s="5"/>
      <c r="I100" s="5"/>
      <c r="J100" s="5"/>
      <c r="K100" s="5"/>
      <c r="L100" s="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27"/>
      <c r="B101" s="8"/>
      <c r="C101" s="3"/>
      <c r="D101" s="10"/>
      <c r="E101" s="3"/>
      <c r="F101" s="10"/>
      <c r="G101" s="12" t="s">
        <v>3</v>
      </c>
      <c r="H101" s="13" t="s">
        <v>7</v>
      </c>
      <c r="I101" s="12" t="s">
        <v>8</v>
      </c>
      <c r="J101" s="148" t="s">
        <v>9</v>
      </c>
      <c r="K101" s="14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28" t="s">
        <v>12</v>
      </c>
      <c r="B102" s="9" t="s">
        <v>3</v>
      </c>
      <c r="C102" s="4"/>
      <c r="D102" s="11" t="s">
        <v>4</v>
      </c>
      <c r="E102" s="4"/>
      <c r="F102" s="11" t="s">
        <v>5</v>
      </c>
      <c r="G102" s="9" t="s">
        <v>6</v>
      </c>
      <c r="H102" s="9" t="s">
        <v>3</v>
      </c>
      <c r="I102" s="14"/>
      <c r="J102" s="15" t="s">
        <v>22</v>
      </c>
      <c r="K102" s="15" t="s">
        <v>23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29"/>
      <c r="B106" s="25"/>
      <c r="C106" s="25"/>
      <c r="D106" s="25"/>
      <c r="E106" s="25"/>
      <c r="F106" s="25"/>
      <c r="G106" s="25"/>
      <c r="H106" s="25"/>
      <c r="I106" s="24"/>
      <c r="J106" s="25"/>
      <c r="K106" s="2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24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6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6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6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6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6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6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6"/>
      <c r="B131" s="8"/>
      <c r="C131" s="3"/>
      <c r="D131" s="10"/>
      <c r="E131" s="3"/>
      <c r="F131" s="10"/>
      <c r="G131" s="12" t="s">
        <v>3</v>
      </c>
      <c r="H131" s="13" t="s">
        <v>7</v>
      </c>
      <c r="I131" s="12" t="s">
        <v>8</v>
      </c>
      <c r="J131" s="148" t="s">
        <v>9</v>
      </c>
      <c r="K131" s="14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7" t="s">
        <v>12</v>
      </c>
      <c r="B132" s="9" t="s">
        <v>3</v>
      </c>
      <c r="C132" s="4"/>
      <c r="D132" s="11" t="s">
        <v>4</v>
      </c>
      <c r="E132" s="4"/>
      <c r="F132" s="11" t="s">
        <v>5</v>
      </c>
      <c r="G132" s="9" t="s">
        <v>6</v>
      </c>
      <c r="H132" s="9" t="s">
        <v>3</v>
      </c>
      <c r="I132" s="14"/>
      <c r="J132" s="15" t="s">
        <v>22</v>
      </c>
      <c r="K132" s="15" t="s">
        <v>23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6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30"/>
      <c r="B136" s="25"/>
      <c r="C136" s="25"/>
      <c r="D136" s="25"/>
      <c r="E136" s="25"/>
      <c r="F136" s="25"/>
      <c r="G136" s="25"/>
      <c r="H136" s="25"/>
      <c r="I136" s="24"/>
      <c r="J136" s="25"/>
      <c r="K136" s="2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6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6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2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6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6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6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24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6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24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6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6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6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6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6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6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6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6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6"/>
      <c r="B161" s="8"/>
      <c r="C161" s="3"/>
      <c r="D161" s="10"/>
      <c r="E161" s="3"/>
      <c r="F161" s="10"/>
      <c r="G161" s="12" t="s">
        <v>3</v>
      </c>
      <c r="H161" s="13" t="s">
        <v>7</v>
      </c>
      <c r="I161" s="12" t="s">
        <v>8</v>
      </c>
      <c r="J161" s="148" t="s">
        <v>9</v>
      </c>
      <c r="K161" s="14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7" t="s">
        <v>12</v>
      </c>
      <c r="B162" s="9" t="s">
        <v>3</v>
      </c>
      <c r="C162" s="4"/>
      <c r="D162" s="11" t="s">
        <v>4</v>
      </c>
      <c r="E162" s="4"/>
      <c r="F162" s="11" t="s">
        <v>5</v>
      </c>
      <c r="G162" s="9" t="s">
        <v>6</v>
      </c>
      <c r="H162" s="9" t="s">
        <v>3</v>
      </c>
      <c r="I162" s="14"/>
      <c r="J162" s="15" t="s">
        <v>22</v>
      </c>
      <c r="K162" s="15" t="s">
        <v>23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6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6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30"/>
      <c r="B166" s="25"/>
      <c r="C166" s="25"/>
      <c r="D166" s="25"/>
      <c r="E166" s="25"/>
      <c r="F166" s="25"/>
      <c r="G166" s="25"/>
      <c r="H166" s="25"/>
      <c r="I166" s="24"/>
      <c r="J166" s="25"/>
      <c r="K166" s="2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6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6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24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6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6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6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24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6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24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6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6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6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6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6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6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6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8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8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8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8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8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8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</sheetData>
  <mergeCells count="9">
    <mergeCell ref="J101:K101"/>
    <mergeCell ref="J131:K131"/>
    <mergeCell ref="J161:K161"/>
    <mergeCell ref="J4:L4"/>
    <mergeCell ref="A1:K1"/>
    <mergeCell ref="A2:K2"/>
    <mergeCell ref="A3:K3"/>
    <mergeCell ref="J69:L69"/>
    <mergeCell ref="J32:L32"/>
  </mergeCells>
  <pageMargins left="1.7" right="0.19685039370078741" top="0.31496062992125984" bottom="0.23622047244094491" header="0.31496062992125984" footer="0.23622047244094491"/>
  <pageSetup paperSize="5" scale="82" orientation="landscape" horizontalDpi="4294967293" verticalDpi="0" r:id="rId1"/>
  <rowBreaks count="3" manualBreakCount="3">
    <brk id="31" max="16383" man="1"/>
    <brk id="68" max="16383" man="1"/>
    <brk id="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W739"/>
  <sheetViews>
    <sheetView view="pageBreakPreview" topLeftCell="A34" zoomScaleSheetLayoutView="100" workbookViewId="0">
      <selection activeCell="M88" sqref="M88"/>
    </sheetView>
  </sheetViews>
  <sheetFormatPr defaultRowHeight="14.25"/>
  <cols>
    <col min="1" max="1" width="48.875" customWidth="1"/>
    <col min="2" max="2" width="12.75" customWidth="1"/>
    <col min="3" max="3" width="2.25" customWidth="1"/>
    <col min="4" max="4" width="11.625" customWidth="1"/>
    <col min="5" max="5" width="2.375" customWidth="1"/>
    <col min="6" max="6" width="11.25" customWidth="1"/>
    <col min="7" max="7" width="11.5" customWidth="1"/>
    <col min="8" max="8" width="12.125" customWidth="1"/>
    <col min="9" max="9" width="11.75" customWidth="1"/>
    <col min="10" max="10" width="11.875" customWidth="1"/>
    <col min="11" max="11" width="11.625" customWidth="1"/>
    <col min="12" max="12" width="12.625" customWidth="1"/>
    <col min="13" max="13" width="3.75" customWidth="1"/>
  </cols>
  <sheetData>
    <row r="1" spans="1:23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1">
        <v>11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>
      <c r="A2" s="147" t="s">
        <v>331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153" t="s">
        <v>9</v>
      </c>
      <c r="K4" s="154"/>
      <c r="L4" s="155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15" t="s">
        <v>10</v>
      </c>
      <c r="K5" s="47" t="s">
        <v>244</v>
      </c>
      <c r="L5" s="47" t="s">
        <v>245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47" t="s">
        <v>246</v>
      </c>
      <c r="B6" s="18"/>
      <c r="C6" s="75"/>
      <c r="D6" s="18"/>
      <c r="E6" s="75"/>
      <c r="F6" s="18"/>
      <c r="G6" s="18"/>
      <c r="H6" s="18"/>
      <c r="I6" s="18"/>
      <c r="J6" s="18"/>
      <c r="K6" s="18"/>
      <c r="L6" s="18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16" t="s">
        <v>13</v>
      </c>
      <c r="B7" s="18">
        <v>709620</v>
      </c>
      <c r="C7" s="75"/>
      <c r="D7" s="18"/>
      <c r="E7" s="75"/>
      <c r="F7" s="18"/>
      <c r="G7" s="18">
        <f>B7+D7-F7</f>
        <v>709620</v>
      </c>
      <c r="H7" s="18">
        <f>G7-I7</f>
        <v>100240</v>
      </c>
      <c r="I7" s="18">
        <f>J7</f>
        <v>609380</v>
      </c>
      <c r="J7" s="18">
        <v>609380</v>
      </c>
      <c r="K7" s="18"/>
      <c r="L7" s="18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16" t="s">
        <v>18</v>
      </c>
      <c r="B8" s="18">
        <v>68520</v>
      </c>
      <c r="C8" s="75" t="s">
        <v>382</v>
      </c>
      <c r="D8" s="18">
        <v>60851</v>
      </c>
      <c r="E8" s="75"/>
      <c r="F8" s="18"/>
      <c r="G8" s="18">
        <f>B8+D8-F8</f>
        <v>129371</v>
      </c>
      <c r="H8" s="18">
        <f>G8-I8</f>
        <v>21200</v>
      </c>
      <c r="I8" s="18">
        <f>J8</f>
        <v>108171</v>
      </c>
      <c r="J8" s="18">
        <v>108171</v>
      </c>
      <c r="K8" s="18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31"/>
      <c r="B9" s="32">
        <f>SUM(B7:B8)</f>
        <v>778140</v>
      </c>
      <c r="C9" s="77"/>
      <c r="D9" s="32">
        <f>SUM(D7:D8)</f>
        <v>60851</v>
      </c>
      <c r="E9" s="77"/>
      <c r="F9" s="32">
        <f>SUM(F7:F8)</f>
        <v>0</v>
      </c>
      <c r="G9" s="32">
        <f>SUM(G7:G8)</f>
        <v>838991</v>
      </c>
      <c r="H9" s="32">
        <f t="shared" ref="H9:L9" si="0">SUM(H7:H8)</f>
        <v>121440</v>
      </c>
      <c r="I9" s="32">
        <f t="shared" si="0"/>
        <v>717551</v>
      </c>
      <c r="J9" s="32">
        <f t="shared" si="0"/>
        <v>717551</v>
      </c>
      <c r="K9" s="32">
        <f t="shared" si="0"/>
        <v>0</v>
      </c>
      <c r="L9" s="32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35" t="s">
        <v>166</v>
      </c>
      <c r="B10" s="18"/>
      <c r="C10" s="75"/>
      <c r="D10" s="18"/>
      <c r="E10" s="75"/>
      <c r="F10" s="18"/>
      <c r="G10" s="18"/>
      <c r="H10" s="18"/>
      <c r="I10" s="18"/>
      <c r="J10" s="18"/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16" t="s">
        <v>17</v>
      </c>
      <c r="B11" s="18">
        <v>317000</v>
      </c>
      <c r="C11" s="75" t="s">
        <v>346</v>
      </c>
      <c r="D11" s="18">
        <v>162200</v>
      </c>
      <c r="E11" s="75"/>
      <c r="F11" s="18"/>
      <c r="G11" s="18">
        <f>B11+D11-F11</f>
        <v>479200</v>
      </c>
      <c r="H11" s="18">
        <f>G11-I11</f>
        <v>328780</v>
      </c>
      <c r="I11" s="18">
        <f>J11</f>
        <v>150420</v>
      </c>
      <c r="J11" s="18">
        <f>210580-15280-2400-42480</f>
        <v>150420</v>
      </c>
      <c r="K11" s="18"/>
      <c r="L11" s="1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16" t="s">
        <v>165</v>
      </c>
      <c r="B12" s="18">
        <v>80000</v>
      </c>
      <c r="C12" s="94" t="s">
        <v>383</v>
      </c>
      <c r="D12" s="18">
        <f>40500+37806</f>
        <v>78306</v>
      </c>
      <c r="E12" s="75"/>
      <c r="F12" s="18"/>
      <c r="G12" s="18">
        <f>B12+D12-F12</f>
        <v>158306</v>
      </c>
      <c r="H12" s="18">
        <f>G12-I12</f>
        <v>31571</v>
      </c>
      <c r="I12" s="18">
        <f>J12</f>
        <v>126735</v>
      </c>
      <c r="J12" s="18">
        <v>126735</v>
      </c>
      <c r="K12" s="18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31"/>
      <c r="B13" s="32">
        <f>SUM(B11:B12)</f>
        <v>397000</v>
      </c>
      <c r="C13" s="77"/>
      <c r="D13" s="32">
        <f>SUM(D11:D12)</f>
        <v>240506</v>
      </c>
      <c r="E13" s="77"/>
      <c r="F13" s="32">
        <f>SUM(F11:F12)</f>
        <v>0</v>
      </c>
      <c r="G13" s="32">
        <f>SUM(G11:G12)</f>
        <v>637506</v>
      </c>
      <c r="H13" s="32">
        <f t="shared" ref="H13:L13" si="1">SUM(H11:H12)</f>
        <v>360351</v>
      </c>
      <c r="I13" s="32">
        <f t="shared" si="1"/>
        <v>277155</v>
      </c>
      <c r="J13" s="32">
        <f t="shared" si="1"/>
        <v>277155</v>
      </c>
      <c r="K13" s="32">
        <f t="shared" si="1"/>
        <v>0</v>
      </c>
      <c r="L13" s="32">
        <f t="shared" si="1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35" t="s">
        <v>247</v>
      </c>
      <c r="B14" s="18"/>
      <c r="C14" s="75"/>
      <c r="D14" s="18"/>
      <c r="E14" s="75"/>
      <c r="F14" s="18"/>
      <c r="G14" s="18"/>
      <c r="H14" s="18"/>
      <c r="I14" s="18"/>
      <c r="J14" s="18"/>
      <c r="K14" s="18"/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16" t="s">
        <v>20</v>
      </c>
      <c r="B15" s="18">
        <v>20000</v>
      </c>
      <c r="C15" s="75"/>
      <c r="D15" s="18"/>
      <c r="E15" s="75"/>
      <c r="F15" s="18"/>
      <c r="G15" s="18">
        <f>B15+D15-F15</f>
        <v>20000</v>
      </c>
      <c r="H15" s="18">
        <f>G15-I15</f>
        <v>1869</v>
      </c>
      <c r="I15" s="18">
        <f>J15</f>
        <v>18131</v>
      </c>
      <c r="J15" s="18">
        <v>18131</v>
      </c>
      <c r="K15" s="18"/>
      <c r="L15" s="1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16" t="s">
        <v>21</v>
      </c>
      <c r="B16" s="18">
        <v>10000</v>
      </c>
      <c r="C16" s="75"/>
      <c r="D16" s="18"/>
      <c r="E16" s="75"/>
      <c r="F16" s="18"/>
      <c r="G16" s="18">
        <f>B16+D16-F16</f>
        <v>10000</v>
      </c>
      <c r="H16" s="18">
        <f>G16-I16</f>
        <v>2800</v>
      </c>
      <c r="I16" s="18">
        <f>J16</f>
        <v>7200</v>
      </c>
      <c r="J16" s="18">
        <v>7200</v>
      </c>
      <c r="K16" s="18"/>
      <c r="L16" s="1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16" t="s">
        <v>24</v>
      </c>
      <c r="B17" s="18">
        <v>70200</v>
      </c>
      <c r="C17" s="75"/>
      <c r="D17" s="18"/>
      <c r="E17" s="75"/>
      <c r="F17" s="18"/>
      <c r="G17" s="18">
        <f>B17+D17-F17</f>
        <v>70200</v>
      </c>
      <c r="H17" s="18">
        <f>G17-I17</f>
        <v>29250</v>
      </c>
      <c r="I17" s="18">
        <f>J17</f>
        <v>40950</v>
      </c>
      <c r="J17" s="18">
        <v>40950</v>
      </c>
      <c r="K17" s="18"/>
      <c r="L17" s="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31"/>
      <c r="B18" s="32">
        <f>SUM(B15:B17)</f>
        <v>100200</v>
      </c>
      <c r="C18" s="77"/>
      <c r="D18" s="32">
        <f>SUM(D15:D17)</f>
        <v>0</v>
      </c>
      <c r="E18" s="77"/>
      <c r="F18" s="32">
        <f>SUM(F15:F17)</f>
        <v>0</v>
      </c>
      <c r="G18" s="32">
        <f>SUM(G15:G17)</f>
        <v>100200</v>
      </c>
      <c r="H18" s="32">
        <f t="shared" ref="H18:L18" si="2">SUM(H15:H17)</f>
        <v>33919</v>
      </c>
      <c r="I18" s="32">
        <f t="shared" si="2"/>
        <v>66281</v>
      </c>
      <c r="J18" s="32">
        <f t="shared" si="2"/>
        <v>66281</v>
      </c>
      <c r="K18" s="32">
        <f t="shared" si="2"/>
        <v>0</v>
      </c>
      <c r="L18" s="32">
        <f t="shared" si="2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35" t="s">
        <v>249</v>
      </c>
      <c r="B19" s="18"/>
      <c r="C19" s="75"/>
      <c r="D19" s="18"/>
      <c r="E19" s="75"/>
      <c r="F19" s="18"/>
      <c r="G19" s="18"/>
      <c r="H19" s="18"/>
      <c r="I19" s="18"/>
      <c r="J19" s="18"/>
      <c r="K19" s="18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16" t="s">
        <v>96</v>
      </c>
      <c r="B20" s="18">
        <v>540000</v>
      </c>
      <c r="C20" s="75" t="s">
        <v>384</v>
      </c>
      <c r="D20" s="18">
        <v>44000</v>
      </c>
      <c r="E20" s="75" t="s">
        <v>346</v>
      </c>
      <c r="F20" s="18">
        <f>135000</f>
        <v>135000</v>
      </c>
      <c r="G20" s="18">
        <f>B20+D20-F20</f>
        <v>449000</v>
      </c>
      <c r="H20" s="18">
        <f>G20-I20</f>
        <v>5032</v>
      </c>
      <c r="I20" s="18">
        <f>J20</f>
        <v>443968</v>
      </c>
      <c r="J20" s="18">
        <v>443968</v>
      </c>
      <c r="K20" s="18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31"/>
      <c r="B21" s="32">
        <f>SUM(B20)</f>
        <v>540000</v>
      </c>
      <c r="C21" s="77"/>
      <c r="D21" s="32">
        <f>SUM(D20)</f>
        <v>44000</v>
      </c>
      <c r="E21" s="77"/>
      <c r="F21" s="32">
        <f>SUM(F20)</f>
        <v>135000</v>
      </c>
      <c r="G21" s="32">
        <f>SUM(G20)</f>
        <v>449000</v>
      </c>
      <c r="H21" s="32">
        <f t="shared" ref="H21:L21" si="3">SUM(H20)</f>
        <v>5032</v>
      </c>
      <c r="I21" s="32">
        <f t="shared" si="3"/>
        <v>443968</v>
      </c>
      <c r="J21" s="32">
        <f t="shared" si="3"/>
        <v>443968</v>
      </c>
      <c r="K21" s="32">
        <f t="shared" si="3"/>
        <v>0</v>
      </c>
      <c r="L21" s="32">
        <f t="shared" si="3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35" t="s">
        <v>187</v>
      </c>
      <c r="B22" s="18"/>
      <c r="C22" s="75"/>
      <c r="D22" s="18"/>
      <c r="E22" s="75"/>
      <c r="F22" s="18"/>
      <c r="G22" s="18"/>
      <c r="H22" s="18"/>
      <c r="I22" s="18"/>
      <c r="J22" s="18"/>
      <c r="K22" s="18"/>
      <c r="L22" s="1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16" t="s">
        <v>250</v>
      </c>
      <c r="B23" s="18">
        <v>10000</v>
      </c>
      <c r="C23" s="75"/>
      <c r="D23" s="18"/>
      <c r="E23" s="75" t="s">
        <v>385</v>
      </c>
      <c r="F23" s="18">
        <f>2200+800</f>
        <v>3000</v>
      </c>
      <c r="G23" s="18">
        <f t="shared" ref="G23:G29" si="4">B23+D23-F23</f>
        <v>7000</v>
      </c>
      <c r="H23" s="18">
        <f>G23-I23</f>
        <v>0</v>
      </c>
      <c r="I23" s="18">
        <f>J23</f>
        <v>7000</v>
      </c>
      <c r="J23" s="18">
        <v>7000</v>
      </c>
      <c r="K23" s="18"/>
      <c r="L23" s="1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16" t="s">
        <v>251</v>
      </c>
      <c r="B24" s="18">
        <v>100000</v>
      </c>
      <c r="C24" s="75" t="s">
        <v>384</v>
      </c>
      <c r="D24" s="18">
        <v>14644</v>
      </c>
      <c r="E24" s="75"/>
      <c r="F24" s="18"/>
      <c r="G24" s="18">
        <f t="shared" si="4"/>
        <v>114644</v>
      </c>
      <c r="H24" s="18">
        <f>G24-I24</f>
        <v>0</v>
      </c>
      <c r="I24" s="18">
        <f>J24</f>
        <v>114644</v>
      </c>
      <c r="J24" s="18">
        <v>114644</v>
      </c>
      <c r="K24" s="18"/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16" t="s">
        <v>255</v>
      </c>
      <c r="B25" s="18">
        <v>50000</v>
      </c>
      <c r="C25" s="75"/>
      <c r="D25" s="18"/>
      <c r="E25" s="75" t="s">
        <v>384</v>
      </c>
      <c r="F25" s="18">
        <v>11085</v>
      </c>
      <c r="G25" s="18">
        <f t="shared" si="4"/>
        <v>38915</v>
      </c>
      <c r="H25" s="18">
        <f>G25-I25</f>
        <v>0</v>
      </c>
      <c r="I25" s="18">
        <f>K25</f>
        <v>38915</v>
      </c>
      <c r="J25" s="18"/>
      <c r="K25" s="18">
        <v>38915</v>
      </c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6" t="s">
        <v>256</v>
      </c>
      <c r="B26" s="18">
        <v>5000</v>
      </c>
      <c r="C26" s="75"/>
      <c r="D26" s="18"/>
      <c r="E26" s="75" t="s">
        <v>361</v>
      </c>
      <c r="F26" s="18">
        <v>5000</v>
      </c>
      <c r="G26" s="18">
        <f t="shared" si="4"/>
        <v>0</v>
      </c>
      <c r="H26" s="101" t="s">
        <v>394</v>
      </c>
      <c r="I26" s="101" t="s">
        <v>394</v>
      </c>
      <c r="J26" s="18"/>
      <c r="K26" s="101" t="s">
        <v>394</v>
      </c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6" t="s">
        <v>257</v>
      </c>
      <c r="B27" s="18">
        <v>10000</v>
      </c>
      <c r="C27" s="75"/>
      <c r="D27" s="18"/>
      <c r="E27" s="75" t="s">
        <v>359</v>
      </c>
      <c r="F27" s="18">
        <v>10000</v>
      </c>
      <c r="G27" s="18">
        <f t="shared" si="4"/>
        <v>0</v>
      </c>
      <c r="H27" s="101" t="s">
        <v>394</v>
      </c>
      <c r="I27" s="101" t="s">
        <v>394</v>
      </c>
      <c r="J27" s="18"/>
      <c r="K27" s="101" t="s">
        <v>394</v>
      </c>
      <c r="L27" s="1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6" t="s">
        <v>258</v>
      </c>
      <c r="B28" s="18">
        <v>5000</v>
      </c>
      <c r="C28" s="75"/>
      <c r="D28" s="18"/>
      <c r="E28" s="94" t="s">
        <v>379</v>
      </c>
      <c r="F28" s="18">
        <f>3000+2000</f>
        <v>5000</v>
      </c>
      <c r="G28" s="18">
        <f t="shared" si="4"/>
        <v>0</v>
      </c>
      <c r="H28" s="101" t="s">
        <v>394</v>
      </c>
      <c r="I28" s="101" t="s">
        <v>394</v>
      </c>
      <c r="J28" s="18"/>
      <c r="K28" s="101" t="s">
        <v>394</v>
      </c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6" t="s">
        <v>259</v>
      </c>
      <c r="B29" s="18">
        <v>4000</v>
      </c>
      <c r="C29" s="75"/>
      <c r="D29" s="18"/>
      <c r="E29" s="75" t="s">
        <v>361</v>
      </c>
      <c r="F29" s="18">
        <v>4000</v>
      </c>
      <c r="G29" s="18">
        <f t="shared" si="4"/>
        <v>0</v>
      </c>
      <c r="H29" s="101" t="s">
        <v>394</v>
      </c>
      <c r="I29" s="101" t="s">
        <v>394</v>
      </c>
      <c r="J29" s="18"/>
      <c r="K29" s="101" t="s">
        <v>394</v>
      </c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16"/>
      <c r="B30" s="18"/>
      <c r="C30" s="75"/>
      <c r="D30" s="18"/>
      <c r="E30" s="75"/>
      <c r="F30" s="18"/>
      <c r="G30" s="18"/>
      <c r="H30" s="18"/>
      <c r="I30" s="18"/>
      <c r="J30" s="18"/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27"/>
      <c r="B31" s="62"/>
      <c r="C31" s="87"/>
      <c r="D31" s="64"/>
      <c r="E31" s="87"/>
      <c r="F31" s="64"/>
      <c r="G31" s="65" t="s">
        <v>3</v>
      </c>
      <c r="H31" s="65" t="s">
        <v>7</v>
      </c>
      <c r="I31" s="65" t="s">
        <v>8</v>
      </c>
      <c r="J31" s="156" t="s">
        <v>9</v>
      </c>
      <c r="K31" s="157"/>
      <c r="L31" s="15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28" t="s">
        <v>12</v>
      </c>
      <c r="B32" s="57" t="s">
        <v>3</v>
      </c>
      <c r="C32" s="88"/>
      <c r="D32" s="58" t="s">
        <v>4</v>
      </c>
      <c r="E32" s="88"/>
      <c r="F32" s="58" t="s">
        <v>5</v>
      </c>
      <c r="G32" s="57" t="s">
        <v>6</v>
      </c>
      <c r="H32" s="57" t="s">
        <v>3</v>
      </c>
      <c r="I32" s="67"/>
      <c r="J32" s="68" t="s">
        <v>10</v>
      </c>
      <c r="K32" s="68" t="s">
        <v>244</v>
      </c>
      <c r="L32" s="68" t="s">
        <v>245</v>
      </c>
      <c r="M32" s="1">
        <v>12</v>
      </c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6" t="s">
        <v>262</v>
      </c>
      <c r="B33" s="18">
        <v>50000</v>
      </c>
      <c r="C33" s="75"/>
      <c r="D33" s="18"/>
      <c r="E33" s="75" t="s">
        <v>361</v>
      </c>
      <c r="F33" s="18">
        <v>6800</v>
      </c>
      <c r="G33" s="18">
        <f>B33+D33-F33</f>
        <v>43200</v>
      </c>
      <c r="H33" s="18">
        <f>G33-I33</f>
        <v>0</v>
      </c>
      <c r="I33" s="18">
        <f>L33</f>
        <v>43200</v>
      </c>
      <c r="J33" s="18"/>
      <c r="K33" s="18"/>
      <c r="L33" s="18">
        <v>43200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6" t="s">
        <v>267</v>
      </c>
      <c r="B34" s="18">
        <v>20000</v>
      </c>
      <c r="C34" s="75"/>
      <c r="D34" s="18"/>
      <c r="E34" s="75" t="s">
        <v>361</v>
      </c>
      <c r="F34" s="18">
        <v>3300</v>
      </c>
      <c r="G34" s="18">
        <f>B34+D34-F34</f>
        <v>16700</v>
      </c>
      <c r="H34" s="18">
        <f>G34-I34</f>
        <v>3140</v>
      </c>
      <c r="I34" s="18">
        <f>J34</f>
        <v>13560</v>
      </c>
      <c r="J34" s="18">
        <f>14060-500</f>
        <v>13560</v>
      </c>
      <c r="K34" s="18"/>
      <c r="L34" s="1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72" t="s">
        <v>268</v>
      </c>
      <c r="B35" s="18"/>
      <c r="C35" s="75"/>
      <c r="D35" s="18"/>
      <c r="E35" s="75"/>
      <c r="F35" s="18"/>
      <c r="G35" s="18"/>
      <c r="H35" s="18"/>
      <c r="I35" s="18"/>
      <c r="J35" s="18"/>
      <c r="K35" s="18"/>
      <c r="L35" s="1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6" t="s">
        <v>269</v>
      </c>
      <c r="B36" s="18">
        <v>345340</v>
      </c>
      <c r="C36" s="75" t="s">
        <v>359</v>
      </c>
      <c r="D36" s="18">
        <v>9000</v>
      </c>
      <c r="E36" s="75"/>
      <c r="F36" s="18"/>
      <c r="G36" s="18">
        <f>B36+D36-F36</f>
        <v>354340</v>
      </c>
      <c r="H36" s="18">
        <f>G36-I36</f>
        <v>0</v>
      </c>
      <c r="I36" s="18">
        <f>K36</f>
        <v>354340</v>
      </c>
      <c r="J36" s="18"/>
      <c r="K36" s="18">
        <v>354340</v>
      </c>
      <c r="L36" s="1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16" t="s">
        <v>270</v>
      </c>
      <c r="B37" s="18">
        <v>298840</v>
      </c>
      <c r="C37" s="75"/>
      <c r="D37" s="18"/>
      <c r="E37" s="75"/>
      <c r="F37" s="18"/>
      <c r="G37" s="18">
        <f>B37+D37-F37</f>
        <v>298840</v>
      </c>
      <c r="H37" s="18">
        <f>G37-I37</f>
        <v>0</v>
      </c>
      <c r="I37" s="18">
        <f>K37</f>
        <v>298840</v>
      </c>
      <c r="J37" s="18"/>
      <c r="K37" s="18">
        <v>298840</v>
      </c>
      <c r="L37" s="1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20"/>
      <c r="B38" s="21">
        <f>SUM(B23:B37)</f>
        <v>898180</v>
      </c>
      <c r="C38" s="78"/>
      <c r="D38" s="21">
        <f>SUM(D23:D37)</f>
        <v>23644</v>
      </c>
      <c r="E38" s="78"/>
      <c r="F38" s="21">
        <f>SUM(F23:F37)</f>
        <v>48185</v>
      </c>
      <c r="G38" s="21">
        <f>SUM(G23:G37)</f>
        <v>873639</v>
      </c>
      <c r="H38" s="21">
        <f>SUM(H23:H37)</f>
        <v>3140</v>
      </c>
      <c r="I38" s="21">
        <f t="shared" ref="I38:K38" si="5">SUM(I23:I37)</f>
        <v>870499</v>
      </c>
      <c r="J38" s="21">
        <f t="shared" si="5"/>
        <v>135204</v>
      </c>
      <c r="K38" s="21">
        <f t="shared" si="5"/>
        <v>692095</v>
      </c>
      <c r="L38" s="21">
        <f>SUM(L23:L37)</f>
        <v>43200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35" t="s">
        <v>195</v>
      </c>
      <c r="B39" s="18"/>
      <c r="C39" s="75"/>
      <c r="D39" s="18"/>
      <c r="E39" s="75"/>
      <c r="F39" s="18"/>
      <c r="G39" s="18"/>
      <c r="H39" s="18"/>
      <c r="I39" s="18"/>
      <c r="J39" s="18"/>
      <c r="K39" s="18"/>
      <c r="L39" s="1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16" t="s">
        <v>271</v>
      </c>
      <c r="B40" s="18">
        <v>40000</v>
      </c>
      <c r="C40" s="75" t="s">
        <v>359</v>
      </c>
      <c r="D40" s="18">
        <v>67000</v>
      </c>
      <c r="E40" s="95" t="s">
        <v>385</v>
      </c>
      <c r="F40" s="18">
        <f>50000+27019</f>
        <v>77019</v>
      </c>
      <c r="G40" s="18">
        <f>B40+D40-F40</f>
        <v>29981</v>
      </c>
      <c r="H40" s="18">
        <f>G40-I40</f>
        <v>1500</v>
      </c>
      <c r="I40" s="18">
        <f>J40</f>
        <v>28481</v>
      </c>
      <c r="J40" s="18">
        <v>28481</v>
      </c>
      <c r="K40" s="18"/>
      <c r="L40" s="1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16" t="s">
        <v>273</v>
      </c>
      <c r="B41" s="18">
        <v>30000</v>
      </c>
      <c r="C41" s="75" t="s">
        <v>359</v>
      </c>
      <c r="D41" s="18">
        <v>51000</v>
      </c>
      <c r="E41" s="75" t="s">
        <v>385</v>
      </c>
      <c r="F41" s="18">
        <f>18000+9400</f>
        <v>27400</v>
      </c>
      <c r="G41" s="18">
        <f>B41+D41-F41</f>
        <v>53600</v>
      </c>
      <c r="H41" s="18">
        <f>G41-I41</f>
        <v>63</v>
      </c>
      <c r="I41" s="18">
        <f>K41</f>
        <v>53537</v>
      </c>
      <c r="J41" s="18"/>
      <c r="K41" s="18">
        <v>53537</v>
      </c>
      <c r="L41" s="1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16" t="s">
        <v>274</v>
      </c>
      <c r="B42" s="18">
        <v>40000</v>
      </c>
      <c r="C42" s="75" t="s">
        <v>359</v>
      </c>
      <c r="D42" s="18">
        <v>6000</v>
      </c>
      <c r="E42" s="75"/>
      <c r="F42" s="18"/>
      <c r="G42" s="18">
        <f>B42+D42-F42</f>
        <v>46000</v>
      </c>
      <c r="H42" s="18">
        <f>G42-I42</f>
        <v>23370</v>
      </c>
      <c r="I42" s="18">
        <f>J42</f>
        <v>22630</v>
      </c>
      <c r="J42" s="18">
        <v>22630</v>
      </c>
      <c r="K42" s="18"/>
      <c r="L42" s="1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16" t="s">
        <v>275</v>
      </c>
      <c r="B43" s="18"/>
      <c r="C43" s="75"/>
      <c r="D43" s="18"/>
      <c r="E43" s="75"/>
      <c r="F43" s="18"/>
      <c r="G43" s="18"/>
      <c r="H43" s="18"/>
      <c r="I43" s="18"/>
      <c r="J43" s="18"/>
      <c r="K43" s="18"/>
      <c r="L43" s="1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6" t="s">
        <v>276</v>
      </c>
      <c r="B44" s="18">
        <v>74000</v>
      </c>
      <c r="C44" s="75"/>
      <c r="D44" s="18"/>
      <c r="E44" s="75"/>
      <c r="F44" s="18"/>
      <c r="G44" s="18">
        <f>B44+D44-F44</f>
        <v>74000</v>
      </c>
      <c r="H44" s="18">
        <f>G44-I44</f>
        <v>1200</v>
      </c>
      <c r="I44" s="18">
        <f>L44</f>
        <v>72800</v>
      </c>
      <c r="J44" s="18"/>
      <c r="K44" s="18"/>
      <c r="L44" s="18">
        <v>72800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6" t="s">
        <v>277</v>
      </c>
      <c r="B45" s="18">
        <v>268520</v>
      </c>
      <c r="C45" s="75"/>
      <c r="D45" s="18"/>
      <c r="E45" s="75" t="s">
        <v>359</v>
      </c>
      <c r="F45" s="18">
        <v>30000</v>
      </c>
      <c r="G45" s="18">
        <f>B45+D45-F45</f>
        <v>238520</v>
      </c>
      <c r="H45" s="18">
        <f>G45-I45</f>
        <v>7981.8800000000047</v>
      </c>
      <c r="I45" s="18">
        <f>K45</f>
        <v>230538.12</v>
      </c>
      <c r="J45" s="18"/>
      <c r="K45" s="18">
        <v>230538.12</v>
      </c>
      <c r="L45" s="1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6" t="s">
        <v>278</v>
      </c>
      <c r="B46" s="18">
        <v>582400</v>
      </c>
      <c r="C46" s="75"/>
      <c r="D46" s="18"/>
      <c r="E46" s="75" t="s">
        <v>359</v>
      </c>
      <c r="F46" s="18">
        <v>40000</v>
      </c>
      <c r="G46" s="18">
        <f>B46+D46-F46</f>
        <v>542400</v>
      </c>
      <c r="H46" s="18">
        <f>G46-I46</f>
        <v>26379.919999999984</v>
      </c>
      <c r="I46" s="18">
        <f>K46</f>
        <v>516020.08</v>
      </c>
      <c r="J46" s="18"/>
      <c r="K46" s="18">
        <v>516020.08</v>
      </c>
      <c r="L46" s="1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20"/>
      <c r="B47" s="21">
        <f>SUM(B39:B46)</f>
        <v>1034920</v>
      </c>
      <c r="C47" s="78"/>
      <c r="D47" s="21">
        <f>SUM(D39:D46)</f>
        <v>124000</v>
      </c>
      <c r="E47" s="78"/>
      <c r="F47" s="21">
        <f>SUM(F39:F46)</f>
        <v>174419</v>
      </c>
      <c r="G47" s="21">
        <f>SUM(G39:G46)</f>
        <v>984501</v>
      </c>
      <c r="H47" s="21">
        <f t="shared" ref="H47:K47" si="6">SUM(H39:H46)</f>
        <v>60494.799999999988</v>
      </c>
      <c r="I47" s="21">
        <f>SUM(I39:I46)</f>
        <v>924006.2</v>
      </c>
      <c r="J47" s="21">
        <f t="shared" si="6"/>
        <v>51111</v>
      </c>
      <c r="K47" s="21">
        <f t="shared" si="6"/>
        <v>800095.2</v>
      </c>
      <c r="L47" s="21">
        <f>SUM(L39:L46)</f>
        <v>72800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35" t="s">
        <v>279</v>
      </c>
      <c r="B48" s="18"/>
      <c r="C48" s="75"/>
      <c r="D48" s="18"/>
      <c r="E48" s="75"/>
      <c r="F48" s="18"/>
      <c r="G48" s="18"/>
      <c r="H48" s="18"/>
      <c r="I48" s="18"/>
      <c r="J48" s="18"/>
      <c r="K48" s="18"/>
      <c r="L48" s="1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6" t="s">
        <v>206</v>
      </c>
      <c r="B49" s="18">
        <v>5000</v>
      </c>
      <c r="C49" s="75"/>
      <c r="D49" s="18"/>
      <c r="E49" s="75"/>
      <c r="F49" s="18"/>
      <c r="G49" s="18">
        <f t="shared" ref="G49:G50" si="7">B49+D49-F49</f>
        <v>5000</v>
      </c>
      <c r="H49" s="18">
        <f>G49-I49</f>
        <v>433.21000000000004</v>
      </c>
      <c r="I49" s="18">
        <f>K49</f>
        <v>4566.79</v>
      </c>
      <c r="J49" s="18"/>
      <c r="K49" s="18">
        <v>4566.79</v>
      </c>
      <c r="L49" s="1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6" t="s">
        <v>207</v>
      </c>
      <c r="B50" s="18">
        <v>8000</v>
      </c>
      <c r="C50" s="75"/>
      <c r="D50" s="18"/>
      <c r="E50" s="75"/>
      <c r="F50" s="18"/>
      <c r="G50" s="18">
        <f t="shared" si="7"/>
        <v>8000</v>
      </c>
      <c r="H50" s="18">
        <f>G50-I50</f>
        <v>424.39999999999964</v>
      </c>
      <c r="I50" s="18">
        <f>K50</f>
        <v>7575.6</v>
      </c>
      <c r="J50" s="18"/>
      <c r="K50" s="18">
        <v>7575.6</v>
      </c>
      <c r="L50" s="1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16" t="s">
        <v>45</v>
      </c>
      <c r="B51" s="18">
        <v>15000</v>
      </c>
      <c r="C51" s="75" t="s">
        <v>384</v>
      </c>
      <c r="D51" s="18">
        <v>4500</v>
      </c>
      <c r="E51" s="75"/>
      <c r="F51" s="18"/>
      <c r="G51" s="18">
        <f>B51+D51-F51</f>
        <v>19500</v>
      </c>
      <c r="H51" s="18">
        <f>G51-I51</f>
        <v>2221.66</v>
      </c>
      <c r="I51" s="18">
        <f>K51</f>
        <v>17278.34</v>
      </c>
      <c r="J51" s="18"/>
      <c r="K51" s="18">
        <v>17278.34</v>
      </c>
      <c r="L51" s="1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31"/>
      <c r="B52" s="32">
        <f>SUM(B49:B51)</f>
        <v>28000</v>
      </c>
      <c r="C52" s="77"/>
      <c r="D52" s="32">
        <f>SUM(D49:D51)</f>
        <v>4500</v>
      </c>
      <c r="E52" s="77"/>
      <c r="F52" s="32">
        <f>SUM(F49:F51)</f>
        <v>0</v>
      </c>
      <c r="G52" s="32">
        <f>SUM(G49:G51)</f>
        <v>32500</v>
      </c>
      <c r="H52" s="32">
        <f>SUM(H49:H51)</f>
        <v>3079.2699999999995</v>
      </c>
      <c r="I52" s="32">
        <f>SUM(I49:I51)</f>
        <v>29420.73</v>
      </c>
      <c r="J52" s="32">
        <f t="shared" ref="J52:L52" si="8">SUM(J49:J51)</f>
        <v>0</v>
      </c>
      <c r="K52" s="32">
        <f>SUM(K49:K51)</f>
        <v>29420.73</v>
      </c>
      <c r="L52" s="32">
        <f t="shared" si="8"/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35" t="s">
        <v>212</v>
      </c>
      <c r="B53" s="18"/>
      <c r="C53" s="75"/>
      <c r="D53" s="18"/>
      <c r="E53" s="75"/>
      <c r="F53" s="18"/>
      <c r="G53" s="18"/>
      <c r="H53" s="18"/>
      <c r="I53" s="18"/>
      <c r="J53" s="18"/>
      <c r="K53" s="18"/>
      <c r="L53" s="1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72" t="s">
        <v>282</v>
      </c>
      <c r="B54" s="18"/>
      <c r="C54" s="75"/>
      <c r="D54" s="18"/>
      <c r="E54" s="75"/>
      <c r="F54" s="18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72" t="s">
        <v>283</v>
      </c>
      <c r="B55" s="18"/>
      <c r="C55" s="75"/>
      <c r="D55" s="18"/>
      <c r="E55" s="75"/>
      <c r="F55" s="18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6" t="s">
        <v>285</v>
      </c>
      <c r="B56" s="18">
        <v>30000</v>
      </c>
      <c r="C56" s="75"/>
      <c r="D56" s="18"/>
      <c r="E56" s="75"/>
      <c r="F56" s="18"/>
      <c r="G56" s="18">
        <f t="shared" ref="G56:G57" si="9">B56+D56-F56</f>
        <v>30000</v>
      </c>
      <c r="H56" s="18">
        <f>G56</f>
        <v>30000</v>
      </c>
      <c r="I56" s="101" t="s">
        <v>394</v>
      </c>
      <c r="J56" s="18"/>
      <c r="K56" s="101" t="s">
        <v>394</v>
      </c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6" t="s">
        <v>286</v>
      </c>
      <c r="B57" s="18">
        <v>20000</v>
      </c>
      <c r="C57" s="75"/>
      <c r="D57" s="18"/>
      <c r="E57" s="75"/>
      <c r="F57" s="18"/>
      <c r="G57" s="18">
        <f t="shared" si="9"/>
        <v>20000</v>
      </c>
      <c r="H57" s="18">
        <f>G57</f>
        <v>20000</v>
      </c>
      <c r="I57" s="101" t="s">
        <v>394</v>
      </c>
      <c r="J57" s="18"/>
      <c r="K57" s="101" t="s">
        <v>394</v>
      </c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72" t="s">
        <v>287</v>
      </c>
      <c r="B58" s="18"/>
      <c r="C58" s="75"/>
      <c r="D58" s="18"/>
      <c r="E58" s="75"/>
      <c r="F58" s="18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6" t="s">
        <v>288</v>
      </c>
      <c r="B59" s="18">
        <v>50000</v>
      </c>
      <c r="C59" s="75"/>
      <c r="D59" s="18"/>
      <c r="E59" s="75"/>
      <c r="F59" s="18"/>
      <c r="G59" s="18">
        <f>B59+D59-F59</f>
        <v>50000</v>
      </c>
      <c r="H59" s="18">
        <f>G59</f>
        <v>50000</v>
      </c>
      <c r="I59" s="101" t="s">
        <v>394</v>
      </c>
      <c r="J59" s="18"/>
      <c r="K59" s="101" t="s">
        <v>394</v>
      </c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27"/>
      <c r="B60" s="62"/>
      <c r="C60" s="87"/>
      <c r="D60" s="64"/>
      <c r="E60" s="87"/>
      <c r="F60" s="64"/>
      <c r="G60" s="65" t="s">
        <v>3</v>
      </c>
      <c r="H60" s="65" t="s">
        <v>7</v>
      </c>
      <c r="I60" s="65" t="s">
        <v>8</v>
      </c>
      <c r="J60" s="156" t="s">
        <v>9</v>
      </c>
      <c r="K60" s="157"/>
      <c r="L60" s="158"/>
      <c r="M60" s="1">
        <v>13</v>
      </c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28" t="s">
        <v>12</v>
      </c>
      <c r="B61" s="57" t="s">
        <v>3</v>
      </c>
      <c r="C61" s="88"/>
      <c r="D61" s="58" t="s">
        <v>4</v>
      </c>
      <c r="E61" s="88"/>
      <c r="F61" s="58" t="s">
        <v>5</v>
      </c>
      <c r="G61" s="57" t="s">
        <v>6</v>
      </c>
      <c r="H61" s="57" t="s">
        <v>3</v>
      </c>
      <c r="I61" s="67"/>
      <c r="J61" s="68" t="s">
        <v>10</v>
      </c>
      <c r="K61" s="68" t="s">
        <v>244</v>
      </c>
      <c r="L61" s="68" t="s">
        <v>245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72" t="s">
        <v>289</v>
      </c>
      <c r="B62" s="18"/>
      <c r="C62" s="75"/>
      <c r="D62" s="18"/>
      <c r="E62" s="75"/>
      <c r="F62" s="18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6" t="s">
        <v>290</v>
      </c>
      <c r="B63" s="18">
        <v>10000</v>
      </c>
      <c r="C63" s="75"/>
      <c r="D63" s="18"/>
      <c r="E63" s="75"/>
      <c r="F63" s="18"/>
      <c r="G63" s="18">
        <f>B63+D63-F63</f>
        <v>10000</v>
      </c>
      <c r="H63" s="18">
        <f>G63</f>
        <v>10000</v>
      </c>
      <c r="I63" s="101" t="s">
        <v>394</v>
      </c>
      <c r="J63" s="18"/>
      <c r="K63" s="101" t="s">
        <v>394</v>
      </c>
      <c r="L63" s="18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72" t="s">
        <v>291</v>
      </c>
      <c r="B64" s="18"/>
      <c r="C64" s="75"/>
      <c r="D64" s="18"/>
      <c r="E64" s="75"/>
      <c r="F64" s="18"/>
      <c r="G64" s="18"/>
      <c r="H64" s="18"/>
      <c r="I64" s="18"/>
      <c r="J64" s="18"/>
      <c r="K64" s="18"/>
      <c r="L64" s="18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6" t="s">
        <v>292</v>
      </c>
      <c r="B65" s="18">
        <v>100000</v>
      </c>
      <c r="C65" s="75"/>
      <c r="D65" s="18"/>
      <c r="E65" s="75"/>
      <c r="F65" s="18"/>
      <c r="G65" s="18">
        <f>B65+D65-F65</f>
        <v>100000</v>
      </c>
      <c r="H65" s="18">
        <f>G65</f>
        <v>100000</v>
      </c>
      <c r="I65" s="101" t="s">
        <v>394</v>
      </c>
      <c r="J65" s="18"/>
      <c r="K65" s="101" t="s">
        <v>394</v>
      </c>
      <c r="L65" s="1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31"/>
      <c r="B66" s="32">
        <f>SUM(B53:B65)</f>
        <v>210000</v>
      </c>
      <c r="C66" s="77"/>
      <c r="D66" s="32">
        <f>SUM(D53:D65)</f>
        <v>0</v>
      </c>
      <c r="E66" s="77"/>
      <c r="F66" s="32">
        <f>SUM(F53:F65)</f>
        <v>0</v>
      </c>
      <c r="G66" s="32">
        <f>SUM(G53:G65)</f>
        <v>210000</v>
      </c>
      <c r="H66" s="32">
        <f>SUM(H53:H65)</f>
        <v>210000</v>
      </c>
      <c r="I66" s="32">
        <f t="shared" ref="I66:L66" si="10">SUM(I53:I65)</f>
        <v>0</v>
      </c>
      <c r="J66" s="32">
        <f t="shared" si="10"/>
        <v>0</v>
      </c>
      <c r="K66" s="32">
        <f t="shared" si="10"/>
        <v>0</v>
      </c>
      <c r="L66" s="32">
        <f t="shared" si="10"/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35" t="s">
        <v>295</v>
      </c>
      <c r="B67" s="18"/>
      <c r="C67" s="75"/>
      <c r="D67" s="18"/>
      <c r="E67" s="75"/>
      <c r="F67" s="18"/>
      <c r="G67" s="18"/>
      <c r="H67" s="18"/>
      <c r="I67" s="18"/>
      <c r="J67" s="18"/>
      <c r="K67" s="18"/>
      <c r="L67" s="18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6" t="s">
        <v>296</v>
      </c>
      <c r="B68" s="18">
        <v>832000</v>
      </c>
      <c r="C68" s="75" t="s">
        <v>384</v>
      </c>
      <c r="D68" s="18">
        <v>45000</v>
      </c>
      <c r="E68" s="92" t="s">
        <v>360</v>
      </c>
      <c r="F68" s="18">
        <f>60000+50000</f>
        <v>110000</v>
      </c>
      <c r="G68" s="18">
        <f>B68+D68-F68</f>
        <v>767000</v>
      </c>
      <c r="H68" s="18">
        <f>G68-I68</f>
        <v>0</v>
      </c>
      <c r="I68" s="18">
        <f>K68</f>
        <v>767000</v>
      </c>
      <c r="J68" s="18"/>
      <c r="K68" s="18">
        <v>767000</v>
      </c>
      <c r="L68" s="1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20"/>
      <c r="B69" s="21">
        <f>SUM(B68)</f>
        <v>832000</v>
      </c>
      <c r="C69" s="78"/>
      <c r="D69" s="21">
        <f>SUM(D68)</f>
        <v>45000</v>
      </c>
      <c r="E69" s="78"/>
      <c r="F69" s="21">
        <f>SUM(F68)</f>
        <v>110000</v>
      </c>
      <c r="G69" s="21">
        <f>SUM(G68)</f>
        <v>767000</v>
      </c>
      <c r="H69" s="21">
        <f t="shared" ref="H69:L69" si="11">SUM(H68)</f>
        <v>0</v>
      </c>
      <c r="I69" s="21">
        <f t="shared" si="11"/>
        <v>767000</v>
      </c>
      <c r="J69" s="21">
        <f t="shared" si="11"/>
        <v>0</v>
      </c>
      <c r="K69" s="21">
        <f t="shared" si="11"/>
        <v>767000</v>
      </c>
      <c r="L69" s="21">
        <f t="shared" si="11"/>
        <v>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35" t="s">
        <v>215</v>
      </c>
      <c r="B70" s="18"/>
      <c r="C70" s="75"/>
      <c r="D70" s="18"/>
      <c r="E70" s="75"/>
      <c r="F70" s="18"/>
      <c r="G70" s="18"/>
      <c r="H70" s="18"/>
      <c r="I70" s="18"/>
      <c r="J70" s="18"/>
      <c r="K70" s="18"/>
      <c r="L70" s="1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6" t="s">
        <v>297</v>
      </c>
      <c r="B71" s="18">
        <v>35800</v>
      </c>
      <c r="C71" s="75"/>
      <c r="D71" s="18"/>
      <c r="E71" s="75" t="s">
        <v>384</v>
      </c>
      <c r="F71" s="18">
        <v>8900</v>
      </c>
      <c r="G71" s="18">
        <f>B71+D71-F71</f>
        <v>26900</v>
      </c>
      <c r="H71" s="18">
        <f>G71-I71</f>
        <v>0</v>
      </c>
      <c r="I71" s="18">
        <f>J71</f>
        <v>26900</v>
      </c>
      <c r="J71" s="18">
        <v>26900</v>
      </c>
      <c r="K71" s="18"/>
      <c r="L71" s="18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6" t="s">
        <v>299</v>
      </c>
      <c r="B72" s="18"/>
      <c r="C72" s="75"/>
      <c r="D72" s="18"/>
      <c r="E72" s="75"/>
      <c r="F72" s="18"/>
      <c r="G72" s="18"/>
      <c r="H72" s="18"/>
      <c r="I72" s="18"/>
      <c r="J72" s="18"/>
      <c r="K72" s="18"/>
      <c r="L72" s="18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6" t="s">
        <v>298</v>
      </c>
      <c r="B73" s="18"/>
      <c r="C73" s="75"/>
      <c r="D73" s="18"/>
      <c r="E73" s="75"/>
      <c r="F73" s="18"/>
      <c r="G73" s="18"/>
      <c r="H73" s="18"/>
      <c r="I73" s="18"/>
      <c r="J73" s="18"/>
      <c r="K73" s="18"/>
      <c r="L73" s="18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6" t="s">
        <v>424</v>
      </c>
      <c r="B74" s="18"/>
      <c r="C74" s="75"/>
      <c r="D74" s="18"/>
      <c r="E74" s="75"/>
      <c r="F74" s="18"/>
      <c r="G74" s="18"/>
      <c r="H74" s="18"/>
      <c r="I74" s="18"/>
      <c r="J74" s="18"/>
      <c r="K74" s="18"/>
      <c r="L74" s="18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6" t="s">
        <v>300</v>
      </c>
      <c r="B75" s="18"/>
      <c r="C75" s="75"/>
      <c r="D75" s="18"/>
      <c r="E75" s="75"/>
      <c r="F75" s="18"/>
      <c r="G75" s="18"/>
      <c r="H75" s="18"/>
      <c r="I75" s="18"/>
      <c r="J75" s="18"/>
      <c r="K75" s="18"/>
      <c r="L75" s="18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6" t="s">
        <v>425</v>
      </c>
      <c r="B76" s="18"/>
      <c r="C76" s="75"/>
      <c r="D76" s="18"/>
      <c r="E76" s="75"/>
      <c r="F76" s="18"/>
      <c r="G76" s="18"/>
      <c r="H76" s="18"/>
      <c r="I76" s="18"/>
      <c r="J76" s="18"/>
      <c r="K76" s="18"/>
      <c r="L76" s="18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6" t="s">
        <v>301</v>
      </c>
      <c r="B77" s="18"/>
      <c r="C77" s="75"/>
      <c r="D77" s="18"/>
      <c r="E77" s="75"/>
      <c r="F77" s="18"/>
      <c r="G77" s="18"/>
      <c r="H77" s="18"/>
      <c r="I77" s="18"/>
      <c r="J77" s="18"/>
      <c r="K77" s="18"/>
      <c r="L77" s="18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6" t="s">
        <v>302</v>
      </c>
      <c r="B78" s="18"/>
      <c r="C78" s="75"/>
      <c r="D78" s="18"/>
      <c r="E78" s="75"/>
      <c r="F78" s="18"/>
      <c r="G78" s="18"/>
      <c r="H78" s="18"/>
      <c r="I78" s="18"/>
      <c r="J78" s="18"/>
      <c r="K78" s="18"/>
      <c r="L78" s="18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6" t="s">
        <v>303</v>
      </c>
      <c r="B79" s="18"/>
      <c r="C79" s="75"/>
      <c r="D79" s="18"/>
      <c r="E79" s="75"/>
      <c r="F79" s="18"/>
      <c r="G79" s="18"/>
      <c r="H79" s="18"/>
      <c r="I79" s="18"/>
      <c r="J79" s="18"/>
      <c r="K79" s="18"/>
      <c r="L79" s="18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6" t="s">
        <v>304</v>
      </c>
      <c r="B80" s="18"/>
      <c r="C80" s="75"/>
      <c r="D80" s="18"/>
      <c r="E80" s="75"/>
      <c r="F80" s="18"/>
      <c r="G80" s="18"/>
      <c r="H80" s="18"/>
      <c r="I80" s="18"/>
      <c r="J80" s="18"/>
      <c r="K80" s="18"/>
      <c r="L80" s="1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6" t="s">
        <v>297</v>
      </c>
      <c r="B81" s="18">
        <v>690</v>
      </c>
      <c r="C81" s="75"/>
      <c r="D81" s="18"/>
      <c r="E81" s="75"/>
      <c r="F81" s="18"/>
      <c r="G81" s="18">
        <f>B81+D81-F81</f>
        <v>690</v>
      </c>
      <c r="H81" s="18">
        <f>G81-I81</f>
        <v>0</v>
      </c>
      <c r="I81" s="18">
        <f>K81</f>
        <v>690</v>
      </c>
      <c r="J81" s="18"/>
      <c r="K81" s="18">
        <v>690</v>
      </c>
      <c r="L81" s="1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6" t="s">
        <v>305</v>
      </c>
      <c r="B82" s="18"/>
      <c r="C82" s="75"/>
      <c r="D82" s="18"/>
      <c r="E82" s="75"/>
      <c r="F82" s="18"/>
      <c r="G82" s="18"/>
      <c r="H82" s="18"/>
      <c r="I82" s="18"/>
      <c r="J82" s="18"/>
      <c r="K82" s="18"/>
      <c r="L82" s="1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6" t="s">
        <v>306</v>
      </c>
      <c r="B83" s="18">
        <v>5500</v>
      </c>
      <c r="C83" s="75"/>
      <c r="D83" s="18"/>
      <c r="E83" s="75"/>
      <c r="F83" s="18"/>
      <c r="G83" s="18">
        <f>B83+D83-F83</f>
        <v>5500</v>
      </c>
      <c r="H83" s="18">
        <f>G83-I83</f>
        <v>300</v>
      </c>
      <c r="I83" s="18">
        <f>K83</f>
        <v>5200</v>
      </c>
      <c r="J83" s="18"/>
      <c r="K83" s="18">
        <v>5200</v>
      </c>
      <c r="L83" s="18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6" t="s">
        <v>307</v>
      </c>
      <c r="B84" s="18"/>
      <c r="C84" s="75"/>
      <c r="D84" s="18"/>
      <c r="E84" s="75"/>
      <c r="F84" s="18"/>
      <c r="G84" s="18"/>
      <c r="H84" s="18"/>
      <c r="I84" s="18"/>
      <c r="J84" s="18"/>
      <c r="K84" s="18"/>
      <c r="L84" s="1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6" t="s">
        <v>308</v>
      </c>
      <c r="B85" s="18"/>
      <c r="C85" s="75"/>
      <c r="D85" s="18"/>
      <c r="E85" s="75"/>
      <c r="F85" s="18"/>
      <c r="G85" s="18"/>
      <c r="H85" s="18"/>
      <c r="I85" s="18"/>
      <c r="J85" s="18"/>
      <c r="K85" s="18"/>
      <c r="L85" s="1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20"/>
      <c r="B86" s="21">
        <f>SUM(B71:B85)</f>
        <v>41990</v>
      </c>
      <c r="C86" s="78"/>
      <c r="D86" s="21">
        <f>SUM(D71:D85)</f>
        <v>0</v>
      </c>
      <c r="E86" s="78"/>
      <c r="F86" s="21">
        <f>SUM(F71:F85)</f>
        <v>8900</v>
      </c>
      <c r="G86" s="21">
        <f>SUM(G71:G85)</f>
        <v>33090</v>
      </c>
      <c r="H86" s="21">
        <f t="shared" ref="H86:L86" si="12">SUM(H71:H85)</f>
        <v>300</v>
      </c>
      <c r="I86" s="21">
        <f t="shared" si="12"/>
        <v>32790</v>
      </c>
      <c r="J86" s="21">
        <f>SUM(J71:J85)</f>
        <v>26900</v>
      </c>
      <c r="K86" s="21">
        <f>SUM(K71:K85)</f>
        <v>5890</v>
      </c>
      <c r="L86" s="21">
        <f t="shared" si="12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27"/>
      <c r="B87" s="62"/>
      <c r="C87" s="87"/>
      <c r="D87" s="64"/>
      <c r="E87" s="87"/>
      <c r="F87" s="64"/>
      <c r="G87" s="65" t="s">
        <v>3</v>
      </c>
      <c r="H87" s="65" t="s">
        <v>7</v>
      </c>
      <c r="I87" s="65" t="s">
        <v>8</v>
      </c>
      <c r="J87" s="156" t="s">
        <v>9</v>
      </c>
      <c r="K87" s="157"/>
      <c r="L87" s="158"/>
      <c r="M87" s="1">
        <v>14</v>
      </c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28" t="s">
        <v>12</v>
      </c>
      <c r="B88" s="57" t="s">
        <v>3</v>
      </c>
      <c r="C88" s="88"/>
      <c r="D88" s="58" t="s">
        <v>4</v>
      </c>
      <c r="E88" s="88"/>
      <c r="F88" s="58" t="s">
        <v>5</v>
      </c>
      <c r="G88" s="57" t="s">
        <v>6</v>
      </c>
      <c r="H88" s="57" t="s">
        <v>3</v>
      </c>
      <c r="I88" s="67"/>
      <c r="J88" s="68" t="s">
        <v>10</v>
      </c>
      <c r="K88" s="68" t="s">
        <v>244</v>
      </c>
      <c r="L88" s="68" t="s">
        <v>245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35" t="s">
        <v>53</v>
      </c>
      <c r="B89" s="18"/>
      <c r="C89" s="75"/>
      <c r="D89" s="18"/>
      <c r="E89" s="75"/>
      <c r="F89" s="18"/>
      <c r="G89" s="18"/>
      <c r="H89" s="18"/>
      <c r="I89" s="18"/>
      <c r="J89" s="18"/>
      <c r="K89" s="18"/>
      <c r="L89" s="1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6" t="s">
        <v>309</v>
      </c>
      <c r="B90" s="18">
        <v>100000</v>
      </c>
      <c r="C90" s="75"/>
      <c r="D90" s="18"/>
      <c r="E90" s="75" t="s">
        <v>361</v>
      </c>
      <c r="F90" s="18">
        <v>1000</v>
      </c>
      <c r="G90" s="18">
        <f t="shared" ref="G90:G96" si="13">B90+D90-F90</f>
        <v>99000</v>
      </c>
      <c r="H90" s="18">
        <f>G90-I90</f>
        <v>0</v>
      </c>
      <c r="I90" s="18">
        <f>K90</f>
        <v>99000</v>
      </c>
      <c r="J90" s="18"/>
      <c r="K90" s="18">
        <v>99000</v>
      </c>
      <c r="L90" s="1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6" t="s">
        <v>310</v>
      </c>
      <c r="B91" s="18">
        <v>80000</v>
      </c>
      <c r="C91" s="75"/>
      <c r="D91" s="18"/>
      <c r="E91" s="75" t="s">
        <v>334</v>
      </c>
      <c r="F91" s="18">
        <v>30000</v>
      </c>
      <c r="G91" s="18">
        <f t="shared" si="13"/>
        <v>50000</v>
      </c>
      <c r="H91" s="18">
        <f>G91-I91</f>
        <v>0</v>
      </c>
      <c r="I91" s="18">
        <f>K91</f>
        <v>50000</v>
      </c>
      <c r="J91" s="18"/>
      <c r="K91" s="18">
        <v>50000</v>
      </c>
      <c r="L91" s="1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6" t="s">
        <v>311</v>
      </c>
      <c r="B92" s="18">
        <v>100000</v>
      </c>
      <c r="C92" s="75"/>
      <c r="D92" s="18"/>
      <c r="E92" s="75"/>
      <c r="F92" s="18"/>
      <c r="G92" s="18">
        <f t="shared" si="13"/>
        <v>100000</v>
      </c>
      <c r="H92" s="18">
        <f>G92-I92</f>
        <v>1000</v>
      </c>
      <c r="I92" s="18">
        <f>K92</f>
        <v>99000</v>
      </c>
      <c r="J92" s="18"/>
      <c r="K92" s="18">
        <v>99000</v>
      </c>
      <c r="L92" s="1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6" t="s">
        <v>312</v>
      </c>
      <c r="B93" s="18">
        <v>40000</v>
      </c>
      <c r="C93" s="75"/>
      <c r="D93" s="18"/>
      <c r="E93" s="75" t="s">
        <v>334</v>
      </c>
      <c r="F93" s="18">
        <v>40000</v>
      </c>
      <c r="G93" s="18">
        <f t="shared" si="13"/>
        <v>0</v>
      </c>
      <c r="H93" s="101" t="s">
        <v>394</v>
      </c>
      <c r="I93" s="101" t="s">
        <v>394</v>
      </c>
      <c r="J93" s="101"/>
      <c r="K93" s="101" t="s">
        <v>394</v>
      </c>
      <c r="L93" s="1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6" t="s">
        <v>343</v>
      </c>
      <c r="B94" s="18"/>
      <c r="C94" s="75" t="s">
        <v>334</v>
      </c>
      <c r="D94" s="18">
        <v>70000</v>
      </c>
      <c r="E94" s="75" t="s">
        <v>384</v>
      </c>
      <c r="F94" s="18">
        <v>1000</v>
      </c>
      <c r="G94" s="18">
        <f t="shared" si="13"/>
        <v>69000</v>
      </c>
      <c r="H94" s="18">
        <f>G94-I94</f>
        <v>0</v>
      </c>
      <c r="I94" s="18">
        <f>K94</f>
        <v>69000</v>
      </c>
      <c r="J94" s="18"/>
      <c r="K94" s="18">
        <v>69000</v>
      </c>
      <c r="L94" s="1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6" t="s">
        <v>345</v>
      </c>
      <c r="B95" s="18"/>
      <c r="C95" s="75" t="s">
        <v>334</v>
      </c>
      <c r="D95" s="18">
        <v>30000</v>
      </c>
      <c r="E95" s="75"/>
      <c r="F95" s="18"/>
      <c r="G95" s="18">
        <f t="shared" si="13"/>
        <v>30000</v>
      </c>
      <c r="H95" s="18">
        <f>G95-I95</f>
        <v>0</v>
      </c>
      <c r="I95" s="18">
        <f>K95</f>
        <v>30000</v>
      </c>
      <c r="J95" s="18"/>
      <c r="K95" s="18">
        <v>30000</v>
      </c>
      <c r="L95" s="1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6" t="s">
        <v>380</v>
      </c>
      <c r="B96" s="18"/>
      <c r="C96" s="75" t="s">
        <v>361</v>
      </c>
      <c r="D96" s="18">
        <v>100000</v>
      </c>
      <c r="E96" s="75" t="s">
        <v>384</v>
      </c>
      <c r="F96" s="18">
        <v>1000</v>
      </c>
      <c r="G96" s="18">
        <f t="shared" si="13"/>
        <v>99000</v>
      </c>
      <c r="H96" s="18">
        <f>G96-I96</f>
        <v>78000</v>
      </c>
      <c r="I96" s="18">
        <f>K96</f>
        <v>21000</v>
      </c>
      <c r="J96" s="18"/>
      <c r="K96" s="18">
        <v>21000</v>
      </c>
      <c r="L96" s="1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20"/>
      <c r="B97" s="21">
        <f>SUM(B90:B96)</f>
        <v>320000</v>
      </c>
      <c r="C97" s="78"/>
      <c r="D97" s="21">
        <f>SUM(D90:D96)</f>
        <v>200000</v>
      </c>
      <c r="E97" s="78"/>
      <c r="F97" s="21">
        <f>SUM(F90:F96)</f>
        <v>73000</v>
      </c>
      <c r="G97" s="21">
        <f>SUM(G90:G96)</f>
        <v>447000</v>
      </c>
      <c r="H97" s="21">
        <f>SUM(H90:H96)</f>
        <v>79000</v>
      </c>
      <c r="I97" s="21">
        <f>SUM(I90:I96)</f>
        <v>368000</v>
      </c>
      <c r="J97" s="21">
        <f t="shared" ref="J97:L97" si="14">SUM(J90:J96)</f>
        <v>0</v>
      </c>
      <c r="K97" s="21">
        <f>SUM(K90:K96)</f>
        <v>368000</v>
      </c>
      <c r="L97" s="21">
        <f t="shared" si="14"/>
        <v>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31" t="s">
        <v>313</v>
      </c>
      <c r="B98" s="32">
        <f>B9+B13+B18+B21+B52+B66</f>
        <v>2053340</v>
      </c>
      <c r="C98" s="77"/>
      <c r="D98" s="32">
        <f>D9+D13+D18+D21+D52+D66</f>
        <v>349857</v>
      </c>
      <c r="E98" s="77"/>
      <c r="F98" s="32">
        <f>F9+F13+F18+F21+F52+F66</f>
        <v>135000</v>
      </c>
      <c r="G98" s="32">
        <f>G9+G13+G18+G21+G52+G66</f>
        <v>2268197</v>
      </c>
      <c r="H98" s="32">
        <f t="shared" ref="H98:L98" si="15">H9+H13+H18+H21+H52+H66</f>
        <v>733821.27</v>
      </c>
      <c r="I98" s="32">
        <f t="shared" si="15"/>
        <v>1534375.73</v>
      </c>
      <c r="J98" s="32">
        <f t="shared" si="15"/>
        <v>1504955</v>
      </c>
      <c r="K98" s="32">
        <f t="shared" si="15"/>
        <v>29420.73</v>
      </c>
      <c r="L98" s="32">
        <f t="shared" si="15"/>
        <v>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20" t="s">
        <v>314</v>
      </c>
      <c r="B99" s="21">
        <f>B38+B47+B69+B86+B97</f>
        <v>3127090</v>
      </c>
      <c r="C99" s="78"/>
      <c r="D99" s="21">
        <f>D38+D47+D69+D86+D97</f>
        <v>392644</v>
      </c>
      <c r="E99" s="78"/>
      <c r="F99" s="21">
        <f>F38+F47+F69+F86+F97</f>
        <v>414504</v>
      </c>
      <c r="G99" s="21">
        <f>G38+G47+G69+G86+G97</f>
        <v>3105230</v>
      </c>
      <c r="H99" s="21">
        <f t="shared" ref="H99:L99" si="16">H38+H47+H69+H86+H97</f>
        <v>142934.79999999999</v>
      </c>
      <c r="I99" s="21">
        <f t="shared" si="16"/>
        <v>2962295.2</v>
      </c>
      <c r="J99" s="21">
        <f t="shared" si="16"/>
        <v>213215</v>
      </c>
      <c r="K99" s="21">
        <f>K38+K47+K69+K86+K97</f>
        <v>2633080.2000000002</v>
      </c>
      <c r="L99" s="21">
        <f t="shared" si="16"/>
        <v>116000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22" t="s">
        <v>315</v>
      </c>
      <c r="B100" s="23">
        <f>B98+B99</f>
        <v>5180430</v>
      </c>
      <c r="C100" s="85"/>
      <c r="D100" s="23">
        <f>D98+D99</f>
        <v>742501</v>
      </c>
      <c r="E100" s="85"/>
      <c r="F100" s="23">
        <f>F98+F99</f>
        <v>549504</v>
      </c>
      <c r="G100" s="23">
        <f>G98+G99</f>
        <v>5373427</v>
      </c>
      <c r="H100" s="23">
        <f t="shared" ref="H100:L100" si="17">H98+H99</f>
        <v>876756.07000000007</v>
      </c>
      <c r="I100" s="23">
        <f t="shared" si="17"/>
        <v>4496670.93</v>
      </c>
      <c r="J100" s="23">
        <f>J98+J99</f>
        <v>1718170</v>
      </c>
      <c r="K100" s="23">
        <f t="shared" si="17"/>
        <v>2662500.9300000002</v>
      </c>
      <c r="L100" s="23">
        <f t="shared" si="17"/>
        <v>116000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6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6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6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6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6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6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6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27"/>
      <c r="B120" s="62"/>
      <c r="C120" s="63"/>
      <c r="D120" s="64"/>
      <c r="E120" s="63"/>
      <c r="F120" s="64"/>
      <c r="G120" s="65" t="s">
        <v>3</v>
      </c>
      <c r="H120" s="65" t="s">
        <v>7</v>
      </c>
      <c r="I120" s="65" t="s">
        <v>8</v>
      </c>
      <c r="J120" s="156" t="s">
        <v>9</v>
      </c>
      <c r="K120" s="157"/>
      <c r="L120" s="15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28" t="s">
        <v>12</v>
      </c>
      <c r="B121" s="57" t="s">
        <v>3</v>
      </c>
      <c r="C121" s="66"/>
      <c r="D121" s="58" t="s">
        <v>4</v>
      </c>
      <c r="E121" s="66"/>
      <c r="F121" s="58" t="s">
        <v>5</v>
      </c>
      <c r="G121" s="57" t="s">
        <v>6</v>
      </c>
      <c r="H121" s="57" t="s">
        <v>3</v>
      </c>
      <c r="I121" s="67"/>
      <c r="J121" s="68" t="s">
        <v>10</v>
      </c>
      <c r="K121" s="68" t="s">
        <v>244</v>
      </c>
      <c r="L121" s="68" t="s">
        <v>245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6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6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6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6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6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6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6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6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6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6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6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6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6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6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6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6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6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6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6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6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6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6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6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6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6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6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6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6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</sheetData>
  <mergeCells count="8">
    <mergeCell ref="J31:L31"/>
    <mergeCell ref="J60:L60"/>
    <mergeCell ref="J87:L87"/>
    <mergeCell ref="J120:L120"/>
    <mergeCell ref="A1:K1"/>
    <mergeCell ref="A2:K2"/>
    <mergeCell ref="A3:K3"/>
    <mergeCell ref="J4:L4"/>
  </mergeCells>
  <pageMargins left="0.31" right="0.19" top="0.31" bottom="0.25" header="0.3" footer="0.25"/>
  <pageSetup paperSize="5" scale="98" orientation="landscape" horizontalDpi="4294967293" verticalDpi="0" r:id="rId1"/>
  <rowBreaks count="4" manualBreakCount="4">
    <brk id="30" max="12" man="1"/>
    <brk id="59" max="12" man="1"/>
    <brk id="86" max="12" man="1"/>
    <brk id="10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W749"/>
  <sheetViews>
    <sheetView view="pageBreakPreview" topLeftCell="A43" zoomScaleSheetLayoutView="100" workbookViewId="0">
      <selection activeCell="L32" sqref="L32"/>
    </sheetView>
  </sheetViews>
  <sheetFormatPr defaultRowHeight="14.25"/>
  <cols>
    <col min="1" max="1" width="55.375" customWidth="1"/>
    <col min="2" max="2" width="12.75" customWidth="1"/>
    <col min="3" max="3" width="2.25" customWidth="1"/>
    <col min="4" max="4" width="11.625" customWidth="1"/>
    <col min="5" max="5" width="3" customWidth="1"/>
    <col min="6" max="6" width="11.25" customWidth="1"/>
    <col min="7" max="7" width="11.5" customWidth="1"/>
    <col min="8" max="8" width="12.625" customWidth="1"/>
    <col min="9" max="9" width="12.25" customWidth="1"/>
    <col min="10" max="10" width="11.875" customWidth="1"/>
    <col min="11" max="11" width="11.625" customWidth="1"/>
    <col min="12" max="12" width="2.875" customWidth="1"/>
  </cols>
  <sheetData>
    <row r="1" spans="1:23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>
        <v>15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>
      <c r="A2" s="147" t="s">
        <v>135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148" t="s">
        <v>9</v>
      </c>
      <c r="K4" s="1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15" t="s">
        <v>136</v>
      </c>
      <c r="K5" s="15" t="s">
        <v>137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35" t="s">
        <v>93</v>
      </c>
      <c r="B6" s="18"/>
      <c r="C6" s="75"/>
      <c r="D6" s="18"/>
      <c r="E6" s="75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16" t="s">
        <v>13</v>
      </c>
      <c r="B7" s="18">
        <v>315240</v>
      </c>
      <c r="C7" s="75"/>
      <c r="D7" s="18"/>
      <c r="E7" s="75"/>
      <c r="F7" s="18"/>
      <c r="G7" s="18">
        <f t="shared" ref="G7:G8" si="0">B7+D7</f>
        <v>315240</v>
      </c>
      <c r="H7" s="18">
        <f>G7-I7</f>
        <v>148260</v>
      </c>
      <c r="I7" s="18">
        <f>J7</f>
        <v>166980</v>
      </c>
      <c r="J7" s="18">
        <v>166980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16" t="s">
        <v>138</v>
      </c>
      <c r="B8" s="18">
        <v>20400</v>
      </c>
      <c r="C8" s="75"/>
      <c r="D8" s="18"/>
      <c r="E8" s="75"/>
      <c r="F8" s="18"/>
      <c r="G8" s="18">
        <f t="shared" si="0"/>
        <v>20400</v>
      </c>
      <c r="H8" s="18">
        <f>G8-I8</f>
        <v>11160</v>
      </c>
      <c r="I8" s="18">
        <f>J8</f>
        <v>9240</v>
      </c>
      <c r="J8" s="18">
        <v>9240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31"/>
      <c r="B9" s="32">
        <f>SUM(B7:B8)</f>
        <v>335640</v>
      </c>
      <c r="C9" s="77"/>
      <c r="D9" s="32">
        <f>SUM(D7:D8)</f>
        <v>0</v>
      </c>
      <c r="E9" s="77"/>
      <c r="F9" s="32">
        <f>SUM(F7:F8)</f>
        <v>0</v>
      </c>
      <c r="G9" s="32">
        <f>SUM(G7:G8)</f>
        <v>335640</v>
      </c>
      <c r="H9" s="32">
        <f t="shared" ref="H9:K9" si="1">SUM(H7:H8)</f>
        <v>159420</v>
      </c>
      <c r="I9" s="32">
        <f t="shared" si="1"/>
        <v>176220</v>
      </c>
      <c r="J9" s="32">
        <f t="shared" si="1"/>
        <v>176220</v>
      </c>
      <c r="K9" s="32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35" t="s">
        <v>139</v>
      </c>
      <c r="B10" s="18"/>
      <c r="C10" s="75"/>
      <c r="D10" s="18"/>
      <c r="E10" s="75"/>
      <c r="F10" s="18"/>
      <c r="G10" s="18"/>
      <c r="H10" s="18"/>
      <c r="I10" s="18"/>
      <c r="J10" s="18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16" t="s">
        <v>17</v>
      </c>
      <c r="B11" s="18">
        <v>321360</v>
      </c>
      <c r="C11" s="75" t="s">
        <v>346</v>
      </c>
      <c r="D11" s="18">
        <v>125000</v>
      </c>
      <c r="E11" s="75"/>
      <c r="F11" s="18"/>
      <c r="G11" s="18">
        <f>B11+D11</f>
        <v>446360</v>
      </c>
      <c r="H11" s="18">
        <f>G11-I11</f>
        <v>45320</v>
      </c>
      <c r="I11" s="18">
        <f>J11</f>
        <v>401040</v>
      </c>
      <c r="J11" s="18">
        <v>401040</v>
      </c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16" t="s">
        <v>18</v>
      </c>
      <c r="B12" s="18">
        <v>92880</v>
      </c>
      <c r="C12" s="94" t="s">
        <v>383</v>
      </c>
      <c r="D12" s="18">
        <f>30000+99450</f>
        <v>129450</v>
      </c>
      <c r="E12" s="75"/>
      <c r="F12" s="18"/>
      <c r="G12" s="18">
        <f>B12+D12-F12</f>
        <v>222330</v>
      </c>
      <c r="H12" s="18">
        <f>G12-I12</f>
        <v>0</v>
      </c>
      <c r="I12" s="18">
        <f>J12</f>
        <v>222330</v>
      </c>
      <c r="J12" s="18">
        <v>222330</v>
      </c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31"/>
      <c r="B13" s="32">
        <f>SUM(B11:B12)</f>
        <v>414240</v>
      </c>
      <c r="C13" s="77"/>
      <c r="D13" s="32">
        <f>SUM(D11:D12)</f>
        <v>254450</v>
      </c>
      <c r="E13" s="77"/>
      <c r="F13" s="32">
        <f>SUM(F11:F12)</f>
        <v>0</v>
      </c>
      <c r="G13" s="32">
        <f>SUM(G11:G12)</f>
        <v>668690</v>
      </c>
      <c r="H13" s="32">
        <f t="shared" ref="H13:K13" si="2">SUM(H11:H12)</f>
        <v>45320</v>
      </c>
      <c r="I13" s="32">
        <f t="shared" si="2"/>
        <v>623370</v>
      </c>
      <c r="J13" s="32">
        <f t="shared" si="2"/>
        <v>623370</v>
      </c>
      <c r="K13" s="32">
        <f t="shared" si="2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35" t="s">
        <v>19</v>
      </c>
      <c r="B14" s="18"/>
      <c r="C14" s="75"/>
      <c r="D14" s="18"/>
      <c r="E14" s="75"/>
      <c r="F14" s="18"/>
      <c r="G14" s="18"/>
      <c r="H14" s="18"/>
      <c r="I14" s="18"/>
      <c r="J14" s="18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16" t="s">
        <v>20</v>
      </c>
      <c r="B15" s="18">
        <v>20000</v>
      </c>
      <c r="C15" s="75"/>
      <c r="D15" s="18"/>
      <c r="E15" s="75"/>
      <c r="F15" s="18"/>
      <c r="G15" s="18">
        <f t="shared" ref="G15:G17" si="3">B15+D15</f>
        <v>20000</v>
      </c>
      <c r="H15" s="18">
        <f>G15-I15</f>
        <v>17831</v>
      </c>
      <c r="I15" s="18">
        <f>J15</f>
        <v>2169</v>
      </c>
      <c r="J15" s="18">
        <v>2169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16" t="s">
        <v>21</v>
      </c>
      <c r="B16" s="18">
        <v>5000</v>
      </c>
      <c r="C16" s="75"/>
      <c r="D16" s="18"/>
      <c r="E16" s="75"/>
      <c r="F16" s="18"/>
      <c r="G16" s="18">
        <f t="shared" si="3"/>
        <v>5000</v>
      </c>
      <c r="H16" s="18">
        <f>G16-I16</f>
        <v>2700</v>
      </c>
      <c r="I16" s="18">
        <f>J16</f>
        <v>2300</v>
      </c>
      <c r="J16" s="18">
        <v>2300</v>
      </c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16" t="s">
        <v>24</v>
      </c>
      <c r="B17" s="18">
        <v>28800</v>
      </c>
      <c r="C17" s="75"/>
      <c r="D17" s="18"/>
      <c r="E17" s="75"/>
      <c r="F17" s="18"/>
      <c r="G17" s="18">
        <f t="shared" si="3"/>
        <v>28800</v>
      </c>
      <c r="H17" s="18">
        <f>G17-I17</f>
        <v>900</v>
      </c>
      <c r="I17" s="18">
        <f>J17</f>
        <v>27900</v>
      </c>
      <c r="J17" s="18">
        <v>27900</v>
      </c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31"/>
      <c r="B18" s="32">
        <f>SUM(B15:B17)</f>
        <v>53800</v>
      </c>
      <c r="C18" s="77"/>
      <c r="D18" s="32">
        <f>SUM(D15:D17)</f>
        <v>0</v>
      </c>
      <c r="E18" s="77"/>
      <c r="F18" s="32">
        <f>SUM(F15:F17)</f>
        <v>0</v>
      </c>
      <c r="G18" s="32">
        <f>SUM(G15:G17)</f>
        <v>53800</v>
      </c>
      <c r="H18" s="32">
        <f t="shared" ref="H18:K18" si="4">SUM(H15:H17)</f>
        <v>21431</v>
      </c>
      <c r="I18" s="32">
        <f t="shared" si="4"/>
        <v>32369</v>
      </c>
      <c r="J18" s="32">
        <f t="shared" si="4"/>
        <v>32369</v>
      </c>
      <c r="K18" s="32">
        <f t="shared" si="4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35" t="s">
        <v>42</v>
      </c>
      <c r="B19" s="18"/>
      <c r="C19" s="75"/>
      <c r="D19" s="18"/>
      <c r="E19" s="75"/>
      <c r="F19" s="18"/>
      <c r="G19" s="18"/>
      <c r="H19" s="18"/>
      <c r="I19" s="18"/>
      <c r="J19" s="18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16" t="s">
        <v>96</v>
      </c>
      <c r="B20" s="18">
        <v>360000</v>
      </c>
      <c r="C20" s="75"/>
      <c r="D20" s="18"/>
      <c r="E20" s="75" t="s">
        <v>346</v>
      </c>
      <c r="F20" s="18">
        <v>100000</v>
      </c>
      <c r="G20" s="18">
        <f>B20+D20-F20</f>
        <v>260000</v>
      </c>
      <c r="H20" s="18">
        <f>G20-I20</f>
        <v>40001</v>
      </c>
      <c r="I20" s="18">
        <f>J20</f>
        <v>219999</v>
      </c>
      <c r="J20" s="18">
        <f>234999-15000</f>
        <v>219999</v>
      </c>
      <c r="K20" s="1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16" t="s">
        <v>378</v>
      </c>
      <c r="B21" s="18"/>
      <c r="C21" s="75" t="s">
        <v>361</v>
      </c>
      <c r="D21" s="18">
        <v>7400</v>
      </c>
      <c r="E21" s="75" t="s">
        <v>384</v>
      </c>
      <c r="F21" s="18">
        <v>7400</v>
      </c>
      <c r="G21" s="18">
        <f>B21+D21-F21</f>
        <v>0</v>
      </c>
      <c r="H21" s="101" t="s">
        <v>394</v>
      </c>
      <c r="I21" s="101" t="s">
        <v>394</v>
      </c>
      <c r="J21" s="101" t="s">
        <v>394</v>
      </c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31"/>
      <c r="B22" s="32">
        <f>SUM(B20:B21)</f>
        <v>360000</v>
      </c>
      <c r="C22" s="77"/>
      <c r="D22" s="32">
        <f>SUM(D20:D21)</f>
        <v>7400</v>
      </c>
      <c r="E22" s="77"/>
      <c r="F22" s="32">
        <f>SUM(F20:F21)</f>
        <v>107400</v>
      </c>
      <c r="G22" s="32">
        <f>SUM(G20:G21)</f>
        <v>260000</v>
      </c>
      <c r="H22" s="32">
        <f t="shared" ref="H22:K22" si="5">SUM(H20:H21)</f>
        <v>40001</v>
      </c>
      <c r="I22" s="32">
        <f t="shared" si="5"/>
        <v>219999</v>
      </c>
      <c r="J22" s="32">
        <f t="shared" si="5"/>
        <v>219999</v>
      </c>
      <c r="K22" s="32">
        <f t="shared" si="5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35" t="s">
        <v>27</v>
      </c>
      <c r="B23" s="18"/>
      <c r="C23" s="75"/>
      <c r="D23" s="18"/>
      <c r="E23" s="75"/>
      <c r="F23" s="18"/>
      <c r="G23" s="18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16" t="s">
        <v>97</v>
      </c>
      <c r="B24" s="18">
        <v>2000</v>
      </c>
      <c r="C24" s="75"/>
      <c r="D24" s="18"/>
      <c r="E24" s="75"/>
      <c r="F24" s="18"/>
      <c r="G24" s="18">
        <f t="shared" ref="G24:G25" si="6">B24+D24</f>
        <v>2000</v>
      </c>
      <c r="H24" s="18">
        <f>G24</f>
        <v>2000</v>
      </c>
      <c r="I24" s="101" t="s">
        <v>394</v>
      </c>
      <c r="J24" s="101" t="s">
        <v>394</v>
      </c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16" t="s">
        <v>98</v>
      </c>
      <c r="B25" s="18">
        <v>10000</v>
      </c>
      <c r="C25" s="75"/>
      <c r="D25" s="18"/>
      <c r="E25" s="75"/>
      <c r="F25" s="18"/>
      <c r="G25" s="18">
        <f t="shared" si="6"/>
        <v>10000</v>
      </c>
      <c r="H25" s="18">
        <f>G25-I25</f>
        <v>6290</v>
      </c>
      <c r="I25" s="101">
        <f>J25</f>
        <v>3710</v>
      </c>
      <c r="J25" s="101">
        <v>3710</v>
      </c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6" t="s">
        <v>140</v>
      </c>
      <c r="B26" s="18">
        <v>100000</v>
      </c>
      <c r="C26" s="75" t="s">
        <v>361</v>
      </c>
      <c r="D26" s="18">
        <v>30000</v>
      </c>
      <c r="E26" s="75" t="s">
        <v>351</v>
      </c>
      <c r="F26" s="18">
        <f>20000+40000</f>
        <v>60000</v>
      </c>
      <c r="G26" s="18">
        <f>B26+D26-F26</f>
        <v>70000</v>
      </c>
      <c r="H26" s="18">
        <f>G26-I26</f>
        <v>28640</v>
      </c>
      <c r="I26" s="18">
        <f>J26</f>
        <v>41360</v>
      </c>
      <c r="J26" s="18">
        <v>41360</v>
      </c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6" t="s">
        <v>141</v>
      </c>
      <c r="B27" s="18">
        <v>5000</v>
      </c>
      <c r="C27" s="75"/>
      <c r="D27" s="18"/>
      <c r="E27" s="75"/>
      <c r="F27" s="18"/>
      <c r="G27" s="18">
        <f t="shared" ref="G27:G29" si="7">B27+D27</f>
        <v>5000</v>
      </c>
      <c r="H27" s="18">
        <f>G27</f>
        <v>5000</v>
      </c>
      <c r="I27" s="101" t="s">
        <v>394</v>
      </c>
      <c r="J27" s="101" t="s">
        <v>394</v>
      </c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6" t="s">
        <v>142</v>
      </c>
      <c r="B28" s="18">
        <v>30000</v>
      </c>
      <c r="C28" s="75"/>
      <c r="D28" s="18"/>
      <c r="E28" s="75"/>
      <c r="F28" s="18"/>
      <c r="G28" s="18">
        <f t="shared" si="7"/>
        <v>30000</v>
      </c>
      <c r="H28" s="18">
        <f>G28</f>
        <v>30000</v>
      </c>
      <c r="I28" s="101" t="s">
        <v>394</v>
      </c>
      <c r="J28" s="101" t="s">
        <v>394</v>
      </c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6" t="s">
        <v>143</v>
      </c>
      <c r="B29" s="18">
        <v>5000</v>
      </c>
      <c r="C29" s="75"/>
      <c r="D29" s="18"/>
      <c r="E29" s="75"/>
      <c r="F29" s="18"/>
      <c r="G29" s="18">
        <f t="shared" si="7"/>
        <v>5000</v>
      </c>
      <c r="H29" s="18">
        <f>G29</f>
        <v>5000</v>
      </c>
      <c r="I29" s="101" t="s">
        <v>394</v>
      </c>
      <c r="J29" s="101" t="s">
        <v>394</v>
      </c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16" t="s">
        <v>144</v>
      </c>
      <c r="B30" s="18">
        <v>130000</v>
      </c>
      <c r="C30" s="75"/>
      <c r="D30" s="18"/>
      <c r="E30" s="92" t="s">
        <v>352</v>
      </c>
      <c r="F30" s="18">
        <f>30000+61000+39000</f>
        <v>130000</v>
      </c>
      <c r="G30" s="18">
        <f>B30+D30-F30</f>
        <v>0</v>
      </c>
      <c r="H30" s="101" t="s">
        <v>394</v>
      </c>
      <c r="I30" s="101" t="s">
        <v>394</v>
      </c>
      <c r="J30" s="101" t="s">
        <v>394</v>
      </c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16" t="s">
        <v>145</v>
      </c>
      <c r="B31" s="18">
        <v>50000</v>
      </c>
      <c r="C31" s="75"/>
      <c r="D31" s="18"/>
      <c r="E31" s="75"/>
      <c r="F31" s="18"/>
      <c r="G31" s="18">
        <f>B31+D31-F31</f>
        <v>50000</v>
      </c>
      <c r="H31" s="18">
        <f>G31-I31</f>
        <v>12500</v>
      </c>
      <c r="I31" s="18">
        <f>K31</f>
        <v>37500</v>
      </c>
      <c r="J31" s="18"/>
      <c r="K31" s="18">
        <v>37500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6"/>
      <c r="B32" s="8"/>
      <c r="C32" s="79"/>
      <c r="D32" s="10"/>
      <c r="E32" s="79"/>
      <c r="F32" s="10"/>
      <c r="G32" s="12" t="s">
        <v>3</v>
      </c>
      <c r="H32" s="13" t="s">
        <v>7</v>
      </c>
      <c r="I32" s="12" t="s">
        <v>8</v>
      </c>
      <c r="J32" s="148" t="s">
        <v>9</v>
      </c>
      <c r="K32" s="149"/>
      <c r="L32" s="1">
        <v>16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7" t="s">
        <v>12</v>
      </c>
      <c r="B33" s="9" t="s">
        <v>3</v>
      </c>
      <c r="C33" s="80"/>
      <c r="D33" s="11" t="s">
        <v>4</v>
      </c>
      <c r="E33" s="80"/>
      <c r="F33" s="11" t="s">
        <v>5</v>
      </c>
      <c r="G33" s="9" t="s">
        <v>6</v>
      </c>
      <c r="H33" s="9" t="s">
        <v>3</v>
      </c>
      <c r="I33" s="14"/>
      <c r="J33" s="100" t="s">
        <v>136</v>
      </c>
      <c r="K33" s="100" t="s">
        <v>137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6" t="s">
        <v>146</v>
      </c>
      <c r="B34" s="18">
        <v>10000</v>
      </c>
      <c r="C34" s="75"/>
      <c r="D34" s="18"/>
      <c r="E34" s="75"/>
      <c r="F34" s="18"/>
      <c r="G34" s="18">
        <f>B34+D34</f>
        <v>10000</v>
      </c>
      <c r="H34" s="18">
        <f>G34-I34</f>
        <v>6266</v>
      </c>
      <c r="I34" s="18">
        <f>J34</f>
        <v>3734</v>
      </c>
      <c r="J34" s="18">
        <v>3734</v>
      </c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6" t="s">
        <v>341</v>
      </c>
      <c r="B35" s="18"/>
      <c r="C35" s="75">
        <v>1</v>
      </c>
      <c r="D35" s="18">
        <v>50000</v>
      </c>
      <c r="E35" s="75" t="s">
        <v>361</v>
      </c>
      <c r="F35" s="18">
        <v>50000</v>
      </c>
      <c r="G35" s="18">
        <f>B35+D35-F35</f>
        <v>0</v>
      </c>
      <c r="H35" s="101" t="s">
        <v>394</v>
      </c>
      <c r="I35" s="101" t="s">
        <v>394</v>
      </c>
      <c r="J35" s="101" t="s">
        <v>394</v>
      </c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6" t="s">
        <v>375</v>
      </c>
      <c r="B36" s="18"/>
      <c r="C36" s="75" t="s">
        <v>361</v>
      </c>
      <c r="D36" s="18">
        <v>20000</v>
      </c>
      <c r="E36" s="75"/>
      <c r="F36" s="18"/>
      <c r="G36" s="18">
        <f>B36+D36-F36</f>
        <v>20000</v>
      </c>
      <c r="H36" s="18">
        <f>G36</f>
        <v>20000</v>
      </c>
      <c r="I36" s="101" t="s">
        <v>394</v>
      </c>
      <c r="J36" s="101" t="s">
        <v>394</v>
      </c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20"/>
      <c r="B37" s="21">
        <f>SUM(B24:B36)</f>
        <v>342000</v>
      </c>
      <c r="C37" s="78"/>
      <c r="D37" s="21">
        <f>SUM(D24:D36)</f>
        <v>100000</v>
      </c>
      <c r="E37" s="78"/>
      <c r="F37" s="21">
        <f>SUM(F24:F36)</f>
        <v>240000</v>
      </c>
      <c r="G37" s="21">
        <f>SUM(G24:G36)</f>
        <v>202000</v>
      </c>
      <c r="H37" s="21">
        <f t="shared" ref="H37:J37" si="8">SUM(H24:H36)</f>
        <v>115696</v>
      </c>
      <c r="I37" s="21">
        <f>SUM(I24:I36)</f>
        <v>86304</v>
      </c>
      <c r="J37" s="21">
        <f t="shared" si="8"/>
        <v>48804</v>
      </c>
      <c r="K37" s="21">
        <f>SUM(K24:K36)</f>
        <v>37500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35" t="s">
        <v>37</v>
      </c>
      <c r="B38" s="18"/>
      <c r="C38" s="75"/>
      <c r="D38" s="18"/>
      <c r="E38" s="75"/>
      <c r="F38" s="18"/>
      <c r="G38" s="18"/>
      <c r="H38" s="18"/>
      <c r="I38" s="18"/>
      <c r="J38" s="18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6" t="s">
        <v>147</v>
      </c>
      <c r="B39" s="18">
        <v>15000</v>
      </c>
      <c r="C39" s="75"/>
      <c r="D39" s="18"/>
      <c r="E39" s="75"/>
      <c r="F39" s="18"/>
      <c r="G39" s="18">
        <f>B39+D39</f>
        <v>15000</v>
      </c>
      <c r="H39" s="18">
        <f>G39-I39</f>
        <v>11300</v>
      </c>
      <c r="I39" s="18">
        <f>J39</f>
        <v>3700</v>
      </c>
      <c r="J39" s="18">
        <v>3700</v>
      </c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20"/>
      <c r="B40" s="21">
        <f>SUM(B39)</f>
        <v>15000</v>
      </c>
      <c r="C40" s="78"/>
      <c r="D40" s="21">
        <f>SUM(D39)</f>
        <v>0</v>
      </c>
      <c r="E40" s="78"/>
      <c r="F40" s="21">
        <f>SUM(F39)</f>
        <v>0</v>
      </c>
      <c r="G40" s="21">
        <f>SUM(G39)</f>
        <v>15000</v>
      </c>
      <c r="H40" s="21">
        <f>SUM(H39)</f>
        <v>11300</v>
      </c>
      <c r="I40" s="21">
        <f t="shared" ref="I40:K40" si="9">SUM(I39)</f>
        <v>3700</v>
      </c>
      <c r="J40" s="21">
        <f t="shared" si="9"/>
        <v>3700</v>
      </c>
      <c r="K40" s="21">
        <f t="shared" si="9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35" t="s">
        <v>105</v>
      </c>
      <c r="B41" s="25"/>
      <c r="C41" s="81"/>
      <c r="D41" s="25"/>
      <c r="E41" s="81"/>
      <c r="F41" s="25"/>
      <c r="G41" s="25"/>
      <c r="H41" s="25"/>
      <c r="I41" s="25"/>
      <c r="J41" s="25"/>
      <c r="K41" s="2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24" t="s">
        <v>347</v>
      </c>
      <c r="B42" s="25"/>
      <c r="C42" s="81" t="s">
        <v>346</v>
      </c>
      <c r="D42" s="25">
        <v>6000</v>
      </c>
      <c r="E42" s="81"/>
      <c r="F42" s="25"/>
      <c r="G42" s="25">
        <f>B42+D42-F42</f>
        <v>6000</v>
      </c>
      <c r="H42" s="25">
        <f>G42</f>
        <v>6000</v>
      </c>
      <c r="I42" s="101" t="s">
        <v>394</v>
      </c>
      <c r="J42" s="101" t="s">
        <v>394</v>
      </c>
      <c r="K42" s="2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31"/>
      <c r="B43" s="32">
        <f>SUM(B42)</f>
        <v>0</v>
      </c>
      <c r="C43" s="77"/>
      <c r="D43" s="32">
        <f>SUM(D42)</f>
        <v>6000</v>
      </c>
      <c r="E43" s="77"/>
      <c r="F43" s="32">
        <f>SUM(F42)</f>
        <v>0</v>
      </c>
      <c r="G43" s="32">
        <f>SUM(G42)</f>
        <v>6000</v>
      </c>
      <c r="H43" s="32">
        <f t="shared" ref="H43:K43" si="10">SUM(H42)</f>
        <v>6000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35" t="s">
        <v>49</v>
      </c>
      <c r="B44" s="18"/>
      <c r="C44" s="75"/>
      <c r="D44" s="18"/>
      <c r="E44" s="75"/>
      <c r="F44" s="18"/>
      <c r="G44" s="18"/>
      <c r="H44" s="18"/>
      <c r="I44" s="18"/>
      <c r="J44" s="18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6" t="s">
        <v>148</v>
      </c>
      <c r="B45" s="18">
        <v>10000</v>
      </c>
      <c r="C45" s="75"/>
      <c r="D45" s="18"/>
      <c r="E45" s="75"/>
      <c r="F45" s="18"/>
      <c r="G45" s="18">
        <f>B45+D45</f>
        <v>10000</v>
      </c>
      <c r="H45" s="18">
        <f>G45</f>
        <v>10000</v>
      </c>
      <c r="I45" s="101" t="s">
        <v>394</v>
      </c>
      <c r="J45" s="101" t="s">
        <v>394</v>
      </c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20"/>
      <c r="B46" s="21">
        <f>SUM(B45)</f>
        <v>10000</v>
      </c>
      <c r="C46" s="78"/>
      <c r="D46" s="21">
        <f>SUM(D45)</f>
        <v>0</v>
      </c>
      <c r="E46" s="78"/>
      <c r="F46" s="21">
        <f>SUM(F45)</f>
        <v>0</v>
      </c>
      <c r="G46" s="21">
        <f>SUM(G45)</f>
        <v>10000</v>
      </c>
      <c r="H46" s="21">
        <f t="shared" ref="H46:K46" si="11">SUM(H45)</f>
        <v>10000</v>
      </c>
      <c r="I46" s="21">
        <f t="shared" si="11"/>
        <v>0</v>
      </c>
      <c r="J46" s="21">
        <f t="shared" si="11"/>
        <v>0</v>
      </c>
      <c r="K46" s="21">
        <f t="shared" si="11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35" t="s">
        <v>53</v>
      </c>
      <c r="B47" s="18"/>
      <c r="C47" s="75"/>
      <c r="D47" s="18"/>
      <c r="E47" s="75"/>
      <c r="F47" s="18"/>
      <c r="G47" s="18"/>
      <c r="H47" s="18"/>
      <c r="I47" s="18"/>
      <c r="J47" s="18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16" t="s">
        <v>149</v>
      </c>
      <c r="B48" s="18">
        <v>200000</v>
      </c>
      <c r="C48" s="75"/>
      <c r="D48" s="18"/>
      <c r="E48" s="75"/>
      <c r="F48" s="18"/>
      <c r="G48" s="18">
        <f>B48+D48</f>
        <v>200000</v>
      </c>
      <c r="H48" s="18">
        <f>G48</f>
        <v>200000</v>
      </c>
      <c r="I48" s="101" t="s">
        <v>394</v>
      </c>
      <c r="J48" s="101" t="s">
        <v>394</v>
      </c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20"/>
      <c r="B49" s="21">
        <f>SUM(B48)</f>
        <v>200000</v>
      </c>
      <c r="C49" s="78"/>
      <c r="D49" s="21">
        <f>SUM(D48)</f>
        <v>0</v>
      </c>
      <c r="E49" s="78"/>
      <c r="F49" s="21">
        <f>SUM(F48)</f>
        <v>0</v>
      </c>
      <c r="G49" s="21">
        <f>SUM(G48)</f>
        <v>200000</v>
      </c>
      <c r="H49" s="21">
        <f t="shared" ref="H49:K49" si="12">SUM(H48)</f>
        <v>200000</v>
      </c>
      <c r="I49" s="21">
        <f t="shared" si="12"/>
        <v>0</v>
      </c>
      <c r="J49" s="21">
        <f t="shared" si="12"/>
        <v>0</v>
      </c>
      <c r="K49" s="21">
        <f t="shared" si="12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35" t="s">
        <v>356</v>
      </c>
      <c r="B50" s="25"/>
      <c r="C50" s="81"/>
      <c r="D50" s="25"/>
      <c r="E50" s="81"/>
      <c r="F50" s="25"/>
      <c r="G50" s="25"/>
      <c r="H50" s="25"/>
      <c r="I50" s="25"/>
      <c r="J50" s="25"/>
      <c r="K50" s="2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24" t="s">
        <v>357</v>
      </c>
      <c r="B51" s="25"/>
      <c r="C51" s="81" t="s">
        <v>350</v>
      </c>
      <c r="D51" s="25">
        <v>100000</v>
      </c>
      <c r="E51" s="81" t="s">
        <v>361</v>
      </c>
      <c r="F51" s="25">
        <v>100000</v>
      </c>
      <c r="G51" s="25">
        <f>B51+D51-F51</f>
        <v>0</v>
      </c>
      <c r="H51" s="102" t="s">
        <v>394</v>
      </c>
      <c r="I51" s="102" t="s">
        <v>394</v>
      </c>
      <c r="J51" s="102" t="s">
        <v>394</v>
      </c>
      <c r="K51" s="2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31"/>
      <c r="B52" s="32">
        <f>SUM(B51)</f>
        <v>0</v>
      </c>
      <c r="C52" s="77"/>
      <c r="D52" s="32">
        <f>SUM(D51)</f>
        <v>100000</v>
      </c>
      <c r="E52" s="77"/>
      <c r="F52" s="32">
        <f>SUM(F51)</f>
        <v>100000</v>
      </c>
      <c r="G52" s="32">
        <f>SUM(G51)</f>
        <v>0</v>
      </c>
      <c r="H52" s="32">
        <f t="shared" ref="H52:K52" si="13">SUM(H51)</f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31" t="s">
        <v>151</v>
      </c>
      <c r="B53" s="32">
        <f>B9+B13+B18+B22+B43+B52</f>
        <v>1163680</v>
      </c>
      <c r="C53" s="77"/>
      <c r="D53" s="32">
        <f>D9+D13+D18+D22+D43+D52</f>
        <v>367850</v>
      </c>
      <c r="E53" s="77"/>
      <c r="F53" s="32">
        <f>F9+F13+F18+F22+F43+F52</f>
        <v>207400</v>
      </c>
      <c r="G53" s="32">
        <f>G9+G13+G18+G22+G43+G52</f>
        <v>1324130</v>
      </c>
      <c r="H53" s="32">
        <f t="shared" ref="H53:K53" si="14">H9+H13+H18+H22+H43+H52</f>
        <v>272172</v>
      </c>
      <c r="I53" s="32">
        <f t="shared" si="14"/>
        <v>1051958</v>
      </c>
      <c r="J53" s="32">
        <f t="shared" si="14"/>
        <v>1051958</v>
      </c>
      <c r="K53" s="32">
        <f t="shared" si="14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20" t="s">
        <v>152</v>
      </c>
      <c r="B54" s="21">
        <f>B37+B40+B46+B49</f>
        <v>567000</v>
      </c>
      <c r="C54" s="78"/>
      <c r="D54" s="21">
        <f>D37+D40+D46+D49</f>
        <v>100000</v>
      </c>
      <c r="E54" s="78"/>
      <c r="F54" s="21">
        <f>F37+F40+F46+F49</f>
        <v>240000</v>
      </c>
      <c r="G54" s="21">
        <f>G37+G40+G46+G49</f>
        <v>427000</v>
      </c>
      <c r="H54" s="21">
        <f t="shared" ref="H54:K54" si="15">H37+H40+H46+H49</f>
        <v>336996</v>
      </c>
      <c r="I54" s="21">
        <f t="shared" si="15"/>
        <v>90004</v>
      </c>
      <c r="J54" s="21">
        <f t="shared" si="15"/>
        <v>52504</v>
      </c>
      <c r="K54" s="21">
        <f t="shared" si="15"/>
        <v>37500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22" t="s">
        <v>150</v>
      </c>
      <c r="B55" s="23">
        <f>B53+B54</f>
        <v>1730680</v>
      </c>
      <c r="C55" s="85"/>
      <c r="D55" s="23">
        <f>D53+D54</f>
        <v>467850</v>
      </c>
      <c r="E55" s="85"/>
      <c r="F55" s="23">
        <f>F53+F54</f>
        <v>447400</v>
      </c>
      <c r="G55" s="23">
        <f>G53+G54</f>
        <v>1751130</v>
      </c>
      <c r="H55" s="23">
        <f t="shared" ref="H55:K55" si="16">H53+H54</f>
        <v>609168</v>
      </c>
      <c r="I55" s="23">
        <f t="shared" si="16"/>
        <v>1141962</v>
      </c>
      <c r="J55" s="23">
        <f t="shared" si="16"/>
        <v>1104462</v>
      </c>
      <c r="K55" s="23">
        <f t="shared" si="16"/>
        <v>37500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6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6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8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8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8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8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8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8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8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</sheetData>
  <mergeCells count="5">
    <mergeCell ref="A1:K1"/>
    <mergeCell ref="A2:K2"/>
    <mergeCell ref="A3:K3"/>
    <mergeCell ref="J4:K4"/>
    <mergeCell ref="J32:K32"/>
  </mergeCells>
  <pageMargins left="0.45" right="0.19" top="0.31" bottom="0.25" header="0.3" footer="0.25"/>
  <pageSetup paperSize="5" scale="98" orientation="landscape" horizontalDpi="4294967293" verticalDpi="0" r:id="rId1"/>
  <rowBreaks count="2" manualBreakCount="2">
    <brk id="31" max="11" man="1"/>
    <brk id="55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W742"/>
  <sheetViews>
    <sheetView view="pageBreakPreview" topLeftCell="A19" zoomScaleSheetLayoutView="100" workbookViewId="0">
      <selection activeCell="F16" sqref="F16"/>
    </sheetView>
  </sheetViews>
  <sheetFormatPr defaultRowHeight="14.25"/>
  <cols>
    <col min="1" max="1" width="55.375" customWidth="1"/>
    <col min="2" max="2" width="12.75" customWidth="1"/>
    <col min="3" max="3" width="2.25" customWidth="1"/>
    <col min="4" max="4" width="11.625" customWidth="1"/>
    <col min="5" max="5" width="2.625" customWidth="1"/>
    <col min="6" max="6" width="11.25" customWidth="1"/>
    <col min="7" max="7" width="11.5" customWidth="1"/>
    <col min="8" max="8" width="12.625" customWidth="1"/>
    <col min="9" max="9" width="12.25" customWidth="1"/>
    <col min="10" max="10" width="11.875" customWidth="1"/>
    <col min="11" max="11" width="11.625" customWidth="1"/>
    <col min="12" max="12" width="2.875" customWidth="1"/>
  </cols>
  <sheetData>
    <row r="1" spans="1:23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>
        <v>17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>
      <c r="A2" s="147" t="s">
        <v>325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148" t="s">
        <v>9</v>
      </c>
      <c r="K4" s="1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47" t="s">
        <v>252</v>
      </c>
      <c r="K5" s="47" t="s">
        <v>253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47" t="s">
        <v>187</v>
      </c>
      <c r="B6" s="18"/>
      <c r="C6" s="75"/>
      <c r="D6" s="18"/>
      <c r="E6" s="75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16" t="s">
        <v>254</v>
      </c>
      <c r="B7" s="18">
        <v>350000</v>
      </c>
      <c r="C7" s="75" t="s">
        <v>359</v>
      </c>
      <c r="D7" s="18">
        <v>44000</v>
      </c>
      <c r="E7" s="75" t="s">
        <v>366</v>
      </c>
      <c r="F7" s="18">
        <f>121000+1700</f>
        <v>122700</v>
      </c>
      <c r="G7" s="18">
        <f>B7+D7-F7</f>
        <v>271300</v>
      </c>
      <c r="H7" s="18">
        <f>G7-I7</f>
        <v>2140</v>
      </c>
      <c r="I7" s="18">
        <f>K7</f>
        <v>269160</v>
      </c>
      <c r="J7" s="18"/>
      <c r="K7" s="18">
        <f>271260-1600-500</f>
        <v>269160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16" t="s">
        <v>260</v>
      </c>
      <c r="B8" s="18">
        <v>250000</v>
      </c>
      <c r="C8" s="75"/>
      <c r="D8" s="18"/>
      <c r="E8" s="75"/>
      <c r="F8" s="18"/>
      <c r="G8" s="18">
        <f>B8+D8-F8</f>
        <v>250000</v>
      </c>
      <c r="H8" s="18">
        <f>G8-I8</f>
        <v>43</v>
      </c>
      <c r="I8" s="18">
        <f>J8</f>
        <v>249957</v>
      </c>
      <c r="J8" s="18">
        <v>249957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16" t="s">
        <v>261</v>
      </c>
      <c r="B9" s="18">
        <v>20000</v>
      </c>
      <c r="C9" s="75"/>
      <c r="D9" s="18"/>
      <c r="E9" s="75" t="s">
        <v>359</v>
      </c>
      <c r="F9" s="18">
        <v>20000</v>
      </c>
      <c r="G9" s="18">
        <f>B9-F9</f>
        <v>0</v>
      </c>
      <c r="H9" s="101" t="s">
        <v>394</v>
      </c>
      <c r="I9" s="101" t="s">
        <v>394</v>
      </c>
      <c r="J9" s="101" t="s">
        <v>394</v>
      </c>
      <c r="K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16" t="s">
        <v>263</v>
      </c>
      <c r="B10" s="18">
        <v>5000</v>
      </c>
      <c r="C10" s="75"/>
      <c r="D10" s="18"/>
      <c r="E10" s="75" t="s">
        <v>361</v>
      </c>
      <c r="F10" s="18">
        <v>5000</v>
      </c>
      <c r="G10" s="18">
        <f>B10+D10-F10</f>
        <v>0</v>
      </c>
      <c r="H10" s="101" t="s">
        <v>394</v>
      </c>
      <c r="I10" s="101" t="s">
        <v>394</v>
      </c>
      <c r="J10" s="101"/>
      <c r="K10" s="101" t="s">
        <v>394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20"/>
      <c r="B11" s="21">
        <f>SUM(B7:B10)</f>
        <v>625000</v>
      </c>
      <c r="C11" s="78"/>
      <c r="D11" s="21">
        <f>SUM(D7:D10)</f>
        <v>44000</v>
      </c>
      <c r="E11" s="78"/>
      <c r="F11" s="21">
        <f>SUM(F7:F10)</f>
        <v>147700</v>
      </c>
      <c r="G11" s="21">
        <f>SUM(G7:G10)</f>
        <v>521300</v>
      </c>
      <c r="H11" s="21">
        <f t="shared" ref="H11:K11" si="0">SUM(H7:H10)</f>
        <v>2183</v>
      </c>
      <c r="I11" s="21">
        <f t="shared" si="0"/>
        <v>519117</v>
      </c>
      <c r="J11" s="21">
        <f t="shared" si="0"/>
        <v>249957</v>
      </c>
      <c r="K11" s="21">
        <f t="shared" si="0"/>
        <v>269160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35" t="s">
        <v>195</v>
      </c>
      <c r="B12" s="18"/>
      <c r="C12" s="75"/>
      <c r="D12" s="18"/>
      <c r="E12" s="75"/>
      <c r="F12" s="18"/>
      <c r="G12" s="18"/>
      <c r="H12" s="18"/>
      <c r="I12" s="18"/>
      <c r="J12" s="18"/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16" t="s">
        <v>272</v>
      </c>
      <c r="B13" s="18">
        <v>30000</v>
      </c>
      <c r="C13" s="75"/>
      <c r="D13" s="18"/>
      <c r="E13" s="75" t="s">
        <v>386</v>
      </c>
      <c r="F13" s="18">
        <f>15000+440</f>
        <v>15440</v>
      </c>
      <c r="G13" s="18">
        <f>B13+D13-F13</f>
        <v>14560</v>
      </c>
      <c r="H13" s="18">
        <f>G13-I13</f>
        <v>0</v>
      </c>
      <c r="I13" s="18">
        <f>J13</f>
        <v>14560</v>
      </c>
      <c r="J13" s="18">
        <v>14560</v>
      </c>
      <c r="K13" s="1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20"/>
      <c r="B14" s="21">
        <f>SUM(B13)</f>
        <v>30000</v>
      </c>
      <c r="C14" s="78"/>
      <c r="D14" s="21">
        <f>SUM(D13)</f>
        <v>0</v>
      </c>
      <c r="E14" s="78"/>
      <c r="F14" s="21">
        <f>SUM(F13)</f>
        <v>15440</v>
      </c>
      <c r="G14" s="21">
        <f>SUM(G13)</f>
        <v>14560</v>
      </c>
      <c r="H14" s="21">
        <f t="shared" ref="H14:K14" si="1">SUM(H13)</f>
        <v>0</v>
      </c>
      <c r="I14" s="21">
        <f t="shared" si="1"/>
        <v>14560</v>
      </c>
      <c r="J14" s="21">
        <f t="shared" si="1"/>
        <v>14560</v>
      </c>
      <c r="K14" s="21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35" t="s">
        <v>212</v>
      </c>
      <c r="B15" s="18"/>
      <c r="C15" s="75"/>
      <c r="D15" s="18"/>
      <c r="E15" s="75"/>
      <c r="F15" s="18"/>
      <c r="G15" s="18"/>
      <c r="H15" s="18"/>
      <c r="I15" s="18"/>
      <c r="J15" s="18"/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16" t="s">
        <v>231</v>
      </c>
      <c r="B16" s="18"/>
      <c r="C16" s="75"/>
      <c r="D16" s="18"/>
      <c r="E16" s="75"/>
      <c r="F16" s="18"/>
      <c r="G16" s="18"/>
      <c r="H16" s="18"/>
      <c r="I16" s="18"/>
      <c r="J16" s="18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16" t="s">
        <v>280</v>
      </c>
      <c r="B17" s="18">
        <v>15000</v>
      </c>
      <c r="C17" s="75"/>
      <c r="D17" s="18"/>
      <c r="E17" s="75"/>
      <c r="F17" s="18"/>
      <c r="G17" s="18">
        <f t="shared" ref="G17:G18" si="2">B17+D17-F17</f>
        <v>15000</v>
      </c>
      <c r="H17" s="18">
        <f>G17-I17</f>
        <v>0</v>
      </c>
      <c r="I17" s="18">
        <v>15000</v>
      </c>
      <c r="J17" s="18"/>
      <c r="K17" s="18">
        <v>15000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16" t="s">
        <v>281</v>
      </c>
      <c r="B18" s="18">
        <v>15000</v>
      </c>
      <c r="C18" s="75"/>
      <c r="D18" s="18"/>
      <c r="E18" s="75"/>
      <c r="F18" s="18"/>
      <c r="G18" s="18">
        <f t="shared" si="2"/>
        <v>15000</v>
      </c>
      <c r="H18" s="18">
        <f>G18-I18</f>
        <v>0</v>
      </c>
      <c r="I18" s="18">
        <f>K18</f>
        <v>15000</v>
      </c>
      <c r="J18" s="18"/>
      <c r="K18" s="18">
        <v>15000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16" t="s">
        <v>332</v>
      </c>
      <c r="B19" s="18"/>
      <c r="C19" s="75"/>
      <c r="D19" s="18"/>
      <c r="E19" s="75"/>
      <c r="F19" s="18"/>
      <c r="G19" s="18"/>
      <c r="H19" s="18"/>
      <c r="I19" s="18"/>
      <c r="J19" s="18"/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16" t="s">
        <v>284</v>
      </c>
      <c r="B20" s="18">
        <v>25000</v>
      </c>
      <c r="C20" s="75"/>
      <c r="D20" s="18"/>
      <c r="E20" s="75"/>
      <c r="F20" s="18"/>
      <c r="G20" s="18">
        <f>B20+D20-F20</f>
        <v>25000</v>
      </c>
      <c r="H20" s="18">
        <f>G20</f>
        <v>25000</v>
      </c>
      <c r="I20" s="101" t="s">
        <v>394</v>
      </c>
      <c r="J20" s="101"/>
      <c r="K20" s="101" t="s">
        <v>394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31"/>
      <c r="B21" s="32">
        <f>SUM(B17:B20)</f>
        <v>55000</v>
      </c>
      <c r="C21" s="77"/>
      <c r="D21" s="32">
        <f>SUM(D17:D20)</f>
        <v>0</v>
      </c>
      <c r="E21" s="77"/>
      <c r="F21" s="32">
        <f t="shared" ref="F21:K21" si="3">SUM(F17:F20)</f>
        <v>0</v>
      </c>
      <c r="G21" s="32">
        <f t="shared" si="3"/>
        <v>55000</v>
      </c>
      <c r="H21" s="32">
        <f t="shared" si="3"/>
        <v>25000</v>
      </c>
      <c r="I21" s="32">
        <f t="shared" si="3"/>
        <v>30000</v>
      </c>
      <c r="J21" s="32">
        <f t="shared" si="3"/>
        <v>0</v>
      </c>
      <c r="K21" s="32">
        <f t="shared" si="3"/>
        <v>30000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31" t="s">
        <v>326</v>
      </c>
      <c r="B22" s="32">
        <f>B21</f>
        <v>55000</v>
      </c>
      <c r="C22" s="77"/>
      <c r="D22" s="32">
        <f>D21</f>
        <v>0</v>
      </c>
      <c r="E22" s="77"/>
      <c r="F22" s="32">
        <f>F21</f>
        <v>0</v>
      </c>
      <c r="G22" s="32">
        <f>G21</f>
        <v>55000</v>
      </c>
      <c r="H22" s="32">
        <f t="shared" ref="H22:K22" si="4">H21</f>
        <v>25000</v>
      </c>
      <c r="I22" s="32">
        <f t="shared" si="4"/>
        <v>30000</v>
      </c>
      <c r="J22" s="32">
        <f t="shared" si="4"/>
        <v>0</v>
      </c>
      <c r="K22" s="32">
        <f t="shared" si="4"/>
        <v>30000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20" t="s">
        <v>327</v>
      </c>
      <c r="B23" s="21">
        <f>B11+B14</f>
        <v>655000</v>
      </c>
      <c r="C23" s="78"/>
      <c r="D23" s="21">
        <f>D11+D14</f>
        <v>44000</v>
      </c>
      <c r="E23" s="78"/>
      <c r="F23" s="21">
        <f>F11+F14</f>
        <v>163140</v>
      </c>
      <c r="G23" s="21">
        <f>G11+G14</f>
        <v>535860</v>
      </c>
      <c r="H23" s="21">
        <f t="shared" ref="H23:K23" si="5">H11+H14</f>
        <v>2183</v>
      </c>
      <c r="I23" s="21">
        <f t="shared" si="5"/>
        <v>533677</v>
      </c>
      <c r="J23" s="21">
        <f t="shared" si="5"/>
        <v>264517</v>
      </c>
      <c r="K23" s="21">
        <f t="shared" si="5"/>
        <v>269160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69" t="s">
        <v>328</v>
      </c>
      <c r="B24" s="70">
        <f>B22+B23</f>
        <v>710000</v>
      </c>
      <c r="C24" s="84"/>
      <c r="D24" s="70">
        <f>D22+D23</f>
        <v>44000</v>
      </c>
      <c r="E24" s="84"/>
      <c r="F24" s="70">
        <f>F22+F23</f>
        <v>163140</v>
      </c>
      <c r="G24" s="70">
        <f>G22+G23</f>
        <v>590860</v>
      </c>
      <c r="H24" s="70">
        <f t="shared" ref="H24:K24" si="6">H22+H23</f>
        <v>27183</v>
      </c>
      <c r="I24" s="70">
        <f t="shared" si="6"/>
        <v>563677</v>
      </c>
      <c r="J24" s="70">
        <f t="shared" si="6"/>
        <v>264517</v>
      </c>
      <c r="K24" s="70">
        <f t="shared" si="6"/>
        <v>299160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16"/>
      <c r="B25" s="18"/>
      <c r="C25" s="75"/>
      <c r="D25" s="18"/>
      <c r="E25" s="18"/>
      <c r="F25" s="18"/>
      <c r="G25" s="18"/>
      <c r="H25" s="18"/>
      <c r="I25" s="18"/>
      <c r="J25" s="18"/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6"/>
      <c r="B26" s="18"/>
      <c r="C26" s="75"/>
      <c r="D26" s="18"/>
      <c r="E26" s="18"/>
      <c r="F26" s="18"/>
      <c r="G26" s="18"/>
      <c r="H26" s="18"/>
      <c r="I26" s="18"/>
      <c r="J26" s="18"/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6"/>
      <c r="B27" s="18"/>
      <c r="C27" s="75"/>
      <c r="D27" s="18"/>
      <c r="E27" s="18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6"/>
      <c r="B28" s="18"/>
      <c r="C28" s="75"/>
      <c r="D28" s="18"/>
      <c r="E28" s="18"/>
      <c r="F28" s="18"/>
      <c r="G28" s="18"/>
      <c r="H28" s="18"/>
      <c r="I28" s="18"/>
      <c r="J28" s="18"/>
      <c r="K28" s="1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6"/>
      <c r="B29" s="18"/>
      <c r="C29" s="75"/>
      <c r="D29" s="18"/>
      <c r="E29" s="18"/>
      <c r="F29" s="18"/>
      <c r="G29" s="18"/>
      <c r="H29" s="18"/>
      <c r="I29" s="18"/>
      <c r="J29" s="18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16"/>
      <c r="B30" s="18"/>
      <c r="C30" s="75"/>
      <c r="D30" s="18"/>
      <c r="E30" s="18"/>
      <c r="F30" s="18"/>
      <c r="G30" s="18"/>
      <c r="H30" s="18"/>
      <c r="I30" s="18"/>
      <c r="J30" s="18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8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</sheetData>
  <mergeCells count="4">
    <mergeCell ref="A1:K1"/>
    <mergeCell ref="A2:K2"/>
    <mergeCell ref="A3:K3"/>
    <mergeCell ref="J4:K4"/>
  </mergeCells>
  <pageMargins left="0.3" right="0.19" top="0.31" bottom="0.25" header="0.3" footer="0.25"/>
  <pageSetup paperSize="5" orientation="landscape" horizontalDpi="4294967293" verticalDpi="0" r:id="rId1"/>
  <rowBreaks count="1" manualBreakCount="1">
    <brk id="24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750"/>
  <sheetViews>
    <sheetView view="pageBreakPreview" topLeftCell="A19" zoomScaleSheetLayoutView="100" workbookViewId="0">
      <selection activeCell="K32" sqref="K32"/>
    </sheetView>
  </sheetViews>
  <sheetFormatPr defaultRowHeight="14.25"/>
  <cols>
    <col min="1" max="1" width="55.375" customWidth="1"/>
    <col min="2" max="2" width="12.75" customWidth="1"/>
    <col min="3" max="3" width="2.25" customWidth="1"/>
    <col min="4" max="4" width="11.625" customWidth="1"/>
    <col min="5" max="5" width="2.375" customWidth="1"/>
    <col min="6" max="6" width="11.25" customWidth="1"/>
    <col min="7" max="7" width="12.75" customWidth="1"/>
    <col min="8" max="8" width="12.625" customWidth="1"/>
    <col min="9" max="9" width="12.25" customWidth="1"/>
    <col min="10" max="10" width="12.875" customWidth="1"/>
  </cols>
  <sheetData>
    <row r="1" spans="1:22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">
        <v>18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>
      <c r="A2" s="147" t="s">
        <v>329</v>
      </c>
      <c r="B2" s="147"/>
      <c r="C2" s="147"/>
      <c r="D2" s="147"/>
      <c r="E2" s="147"/>
      <c r="F2" s="147"/>
      <c r="G2" s="147"/>
      <c r="H2" s="147"/>
      <c r="I2" s="147"/>
      <c r="J2" s="1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93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15" t="s">
        <v>39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75">
      <c r="A6" s="35" t="s">
        <v>27</v>
      </c>
      <c r="B6" s="18"/>
      <c r="C6" s="75"/>
      <c r="D6" s="18"/>
      <c r="E6" s="75"/>
      <c r="F6" s="18"/>
      <c r="G6" s="18"/>
      <c r="H6" s="18"/>
      <c r="I6" s="18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>
      <c r="A7" s="16" t="s">
        <v>36</v>
      </c>
      <c r="B7" s="18">
        <v>50000</v>
      </c>
      <c r="C7" s="75"/>
      <c r="D7" s="18"/>
      <c r="E7" s="75"/>
      <c r="F7" s="18"/>
      <c r="G7" s="18">
        <f>B7+D7-F7</f>
        <v>50000</v>
      </c>
      <c r="H7" s="18">
        <f>G7-I7</f>
        <v>40601.599999999999</v>
      </c>
      <c r="I7" s="18">
        <f>J7</f>
        <v>9398.4</v>
      </c>
      <c r="J7" s="18">
        <v>9398.4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>
      <c r="A8" s="16" t="s">
        <v>364</v>
      </c>
      <c r="B8" s="18"/>
      <c r="C8" s="75" t="s">
        <v>361</v>
      </c>
      <c r="D8" s="18">
        <v>2800</v>
      </c>
      <c r="E8" s="75"/>
      <c r="F8" s="18"/>
      <c r="G8" s="18">
        <f>B8+D8-F8</f>
        <v>2800</v>
      </c>
      <c r="H8" s="18">
        <f>G8-I8</f>
        <v>0</v>
      </c>
      <c r="I8" s="18">
        <f>J8</f>
        <v>2800</v>
      </c>
      <c r="J8" s="18">
        <v>2800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.75">
      <c r="A9" s="33"/>
      <c r="B9" s="36">
        <f>SUM(B7:B8)</f>
        <v>50000</v>
      </c>
      <c r="C9" s="82"/>
      <c r="D9" s="36">
        <f>SUM(D7:D8)</f>
        <v>2800</v>
      </c>
      <c r="E9" s="82"/>
      <c r="F9" s="36">
        <f>SUM(F7:F8)</f>
        <v>0</v>
      </c>
      <c r="G9" s="36">
        <f>SUM(G7:G8)</f>
        <v>52800</v>
      </c>
      <c r="H9" s="36">
        <f t="shared" ref="H9:J9" si="0">SUM(H7:H8)</f>
        <v>40601.599999999999</v>
      </c>
      <c r="I9" s="36">
        <f t="shared" si="0"/>
        <v>12198.4</v>
      </c>
      <c r="J9" s="36">
        <f t="shared" si="0"/>
        <v>12198.4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>
      <c r="A10" s="35" t="s">
        <v>37</v>
      </c>
      <c r="B10" s="18"/>
      <c r="C10" s="75"/>
      <c r="D10" s="18"/>
      <c r="E10" s="75"/>
      <c r="F10" s="18"/>
      <c r="G10" s="18"/>
      <c r="H10" s="18"/>
      <c r="I10" s="18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.75">
      <c r="A11" s="16" t="s">
        <v>38</v>
      </c>
      <c r="B11" s="18">
        <v>10000</v>
      </c>
      <c r="C11" s="75"/>
      <c r="D11" s="18"/>
      <c r="E11" s="75"/>
      <c r="F11" s="18"/>
      <c r="G11" s="18">
        <f t="shared" ref="G11:G13" si="1">B11+D11-F11</f>
        <v>10000</v>
      </c>
      <c r="H11" s="18">
        <f>G11-I11</f>
        <v>200</v>
      </c>
      <c r="I11" s="18">
        <f>J11</f>
        <v>9800</v>
      </c>
      <c r="J11" s="18">
        <v>9800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.75">
      <c r="A12" s="16" t="s">
        <v>40</v>
      </c>
      <c r="B12" s="18">
        <v>200000</v>
      </c>
      <c r="C12" s="75"/>
      <c r="D12" s="18"/>
      <c r="E12" s="75"/>
      <c r="F12" s="18"/>
      <c r="G12" s="18">
        <f t="shared" si="1"/>
        <v>200000</v>
      </c>
      <c r="H12" s="18">
        <f>G12-I12</f>
        <v>103164</v>
      </c>
      <c r="I12" s="18">
        <f>J12</f>
        <v>96836</v>
      </c>
      <c r="J12" s="18">
        <v>96836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.75">
      <c r="A13" s="16" t="s">
        <v>41</v>
      </c>
      <c r="B13" s="18">
        <v>250000</v>
      </c>
      <c r="C13" s="75"/>
      <c r="D13" s="18"/>
      <c r="E13" s="75"/>
      <c r="F13" s="18"/>
      <c r="G13" s="18">
        <f t="shared" si="1"/>
        <v>250000</v>
      </c>
      <c r="H13" s="18">
        <f>G13-I13</f>
        <v>69617</v>
      </c>
      <c r="I13" s="18">
        <f>J13</f>
        <v>180383</v>
      </c>
      <c r="J13" s="18">
        <v>180383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>
      <c r="A14" s="20"/>
      <c r="B14" s="21">
        <f>SUM(B11:B13)</f>
        <v>460000</v>
      </c>
      <c r="C14" s="78"/>
      <c r="D14" s="21">
        <f>SUM(D11:D13)</f>
        <v>0</v>
      </c>
      <c r="E14" s="78"/>
      <c r="F14" s="21">
        <f>SUM(F11:F13)</f>
        <v>0</v>
      </c>
      <c r="G14" s="21">
        <f>SUM(G11:G13)</f>
        <v>460000</v>
      </c>
      <c r="H14" s="21">
        <f t="shared" ref="H14:J14" si="2">SUM(H11:H13)</f>
        <v>172981</v>
      </c>
      <c r="I14" s="21">
        <f t="shared" si="2"/>
        <v>287019</v>
      </c>
      <c r="J14" s="21">
        <f t="shared" si="2"/>
        <v>287019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.75">
      <c r="A15" s="35" t="s">
        <v>44</v>
      </c>
      <c r="B15" s="18"/>
      <c r="C15" s="75"/>
      <c r="D15" s="18"/>
      <c r="E15" s="75"/>
      <c r="F15" s="18"/>
      <c r="G15" s="18"/>
      <c r="H15" s="18"/>
      <c r="I15" s="18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>
      <c r="A16" s="16" t="s">
        <v>45</v>
      </c>
      <c r="B16" s="18">
        <v>600000</v>
      </c>
      <c r="C16" s="75"/>
      <c r="D16" s="18"/>
      <c r="E16" s="75"/>
      <c r="F16" s="18"/>
      <c r="G16" s="18">
        <f>B16+D16-F16</f>
        <v>600000</v>
      </c>
      <c r="H16" s="18">
        <f>G16-I16</f>
        <v>35964.319999999949</v>
      </c>
      <c r="I16" s="18">
        <f>J16</f>
        <v>564035.68000000005</v>
      </c>
      <c r="J16" s="18">
        <v>564035.68000000005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.75">
      <c r="A17" s="20"/>
      <c r="B17" s="21">
        <f>SUM(B16)</f>
        <v>600000</v>
      </c>
      <c r="C17" s="78"/>
      <c r="D17" s="21">
        <f>SUM(D16)</f>
        <v>0</v>
      </c>
      <c r="E17" s="78"/>
      <c r="F17" s="21">
        <f>SUM(F16)</f>
        <v>0</v>
      </c>
      <c r="G17" s="21">
        <f>SUM(G16)</f>
        <v>600000</v>
      </c>
      <c r="H17" s="21">
        <f t="shared" ref="H17:J17" si="3">SUM(H16)</f>
        <v>35964.319999999949</v>
      </c>
      <c r="I17" s="21">
        <f t="shared" si="3"/>
        <v>564035.68000000005</v>
      </c>
      <c r="J17" s="21">
        <f t="shared" si="3"/>
        <v>564035.68000000005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.75">
      <c r="A18" s="35" t="s">
        <v>381</v>
      </c>
      <c r="B18" s="18"/>
      <c r="C18" s="75"/>
      <c r="D18" s="18"/>
      <c r="E18" s="75"/>
      <c r="F18" s="18"/>
      <c r="G18" s="18"/>
      <c r="H18" s="18"/>
      <c r="I18" s="18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.75">
      <c r="A19" s="16" t="s">
        <v>47</v>
      </c>
      <c r="B19" s="18"/>
      <c r="C19" s="75"/>
      <c r="D19" s="18"/>
      <c r="E19" s="75"/>
      <c r="F19" s="18"/>
      <c r="G19" s="18"/>
      <c r="H19" s="18"/>
      <c r="I19" s="18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.75">
      <c r="A20" s="16" t="s">
        <v>48</v>
      </c>
      <c r="B20" s="18">
        <v>1000000</v>
      </c>
      <c r="C20" s="75"/>
      <c r="D20" s="18"/>
      <c r="E20" s="75"/>
      <c r="F20" s="18"/>
      <c r="G20" s="18">
        <f>B20+D20-F20</f>
        <v>1000000</v>
      </c>
      <c r="H20" s="18">
        <f>G20-I20</f>
        <v>0</v>
      </c>
      <c r="I20" s="18">
        <f>J20</f>
        <v>1000000</v>
      </c>
      <c r="J20" s="18">
        <v>1000000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.75">
      <c r="A21" s="20"/>
      <c r="B21" s="21">
        <f>SUM(B20)</f>
        <v>1000000</v>
      </c>
      <c r="C21" s="78"/>
      <c r="D21" s="21">
        <f>SUM(D20)</f>
        <v>0</v>
      </c>
      <c r="E21" s="78"/>
      <c r="F21" s="21">
        <f>SUM(F20)</f>
        <v>0</v>
      </c>
      <c r="G21" s="21">
        <f>SUM(G20)</f>
        <v>1000000</v>
      </c>
      <c r="H21" s="21">
        <f t="shared" ref="H21:J21" si="4">SUM(H20)</f>
        <v>0</v>
      </c>
      <c r="I21" s="21">
        <f t="shared" si="4"/>
        <v>1000000</v>
      </c>
      <c r="J21" s="21">
        <f t="shared" si="4"/>
        <v>1000000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75">
      <c r="A22" s="83" t="s">
        <v>372</v>
      </c>
      <c r="B22" s="25"/>
      <c r="C22" s="81"/>
      <c r="D22" s="25"/>
      <c r="E22" s="81"/>
      <c r="F22" s="25"/>
      <c r="G22" s="25"/>
      <c r="H22" s="25"/>
      <c r="I22" s="25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.75">
      <c r="A23" s="24" t="s">
        <v>373</v>
      </c>
      <c r="B23" s="25"/>
      <c r="C23" s="81" t="s">
        <v>361</v>
      </c>
      <c r="D23" s="25">
        <v>25000</v>
      </c>
      <c r="E23" s="81"/>
      <c r="F23" s="25"/>
      <c r="G23" s="25">
        <f>B23+D23-F23</f>
        <v>25000</v>
      </c>
      <c r="H23" s="25">
        <f>G23</f>
        <v>25000</v>
      </c>
      <c r="I23" s="102" t="s">
        <v>394</v>
      </c>
      <c r="J23" s="102" t="s">
        <v>394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.75">
      <c r="A24" s="31"/>
      <c r="B24" s="32">
        <f>SUM(B23)</f>
        <v>0</v>
      </c>
      <c r="C24" s="77"/>
      <c r="D24" s="32">
        <f>SUM(D23)</f>
        <v>25000</v>
      </c>
      <c r="E24" s="77"/>
      <c r="F24" s="32">
        <f>SUM(F23)</f>
        <v>0</v>
      </c>
      <c r="G24" s="32">
        <f>SUM(G23)</f>
        <v>25000</v>
      </c>
      <c r="H24" s="32">
        <f t="shared" ref="H24:J24" si="5">SUM(H23)</f>
        <v>25000</v>
      </c>
      <c r="I24" s="32">
        <f t="shared" si="5"/>
        <v>0</v>
      </c>
      <c r="J24" s="32">
        <f t="shared" si="5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.75">
      <c r="A25" s="35" t="s">
        <v>53</v>
      </c>
      <c r="B25" s="18"/>
      <c r="C25" s="75"/>
      <c r="D25" s="18"/>
      <c r="E25" s="75"/>
      <c r="F25" s="18"/>
      <c r="G25" s="18"/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.75">
      <c r="A26" s="16" t="s">
        <v>75</v>
      </c>
      <c r="B26" s="18">
        <v>80000</v>
      </c>
      <c r="C26" s="75"/>
      <c r="D26" s="18"/>
      <c r="E26" s="75" t="s">
        <v>361</v>
      </c>
      <c r="F26" s="18">
        <v>500</v>
      </c>
      <c r="G26" s="18">
        <f>B26+D26-F26</f>
        <v>79500</v>
      </c>
      <c r="H26" s="18">
        <f>G26-I26</f>
        <v>0</v>
      </c>
      <c r="I26" s="18">
        <f>J26</f>
        <v>79500</v>
      </c>
      <c r="J26" s="18">
        <v>79500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.75">
      <c r="A27" s="16" t="s">
        <v>76</v>
      </c>
      <c r="B27" s="18">
        <v>40000</v>
      </c>
      <c r="C27" s="75"/>
      <c r="D27" s="18"/>
      <c r="E27" s="75" t="s">
        <v>361</v>
      </c>
      <c r="F27" s="18">
        <v>500</v>
      </c>
      <c r="G27" s="18">
        <f>B27+D27-F27</f>
        <v>39500</v>
      </c>
      <c r="H27" s="18">
        <f>G27-I27</f>
        <v>0</v>
      </c>
      <c r="I27" s="18">
        <f>J27</f>
        <v>39500</v>
      </c>
      <c r="J27" s="18">
        <v>39500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.75">
      <c r="A28" s="16" t="s">
        <v>77</v>
      </c>
      <c r="B28" s="18">
        <v>150000</v>
      </c>
      <c r="C28" s="75"/>
      <c r="D28" s="18"/>
      <c r="E28" s="75" t="s">
        <v>361</v>
      </c>
      <c r="F28" s="18">
        <v>500</v>
      </c>
      <c r="G28" s="18">
        <f>B28+D28-F28</f>
        <v>149500</v>
      </c>
      <c r="H28" s="18">
        <f>G28-I28</f>
        <v>0</v>
      </c>
      <c r="I28" s="18">
        <f>J28</f>
        <v>149500</v>
      </c>
      <c r="J28" s="18">
        <v>149500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.75">
      <c r="A29" s="16" t="s">
        <v>395</v>
      </c>
      <c r="B29" s="18">
        <v>250000</v>
      </c>
      <c r="C29" s="75"/>
      <c r="D29" s="18"/>
      <c r="E29" s="75" t="s">
        <v>361</v>
      </c>
      <c r="F29" s="18">
        <v>1000</v>
      </c>
      <c r="G29" s="18">
        <f>B29+D29-F29</f>
        <v>249000</v>
      </c>
      <c r="H29" s="18">
        <f>G29-I29</f>
        <v>0</v>
      </c>
      <c r="I29" s="18">
        <f>J29</f>
        <v>249000</v>
      </c>
      <c r="J29" s="18">
        <v>249000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.75">
      <c r="A30" s="16" t="s">
        <v>78</v>
      </c>
      <c r="B30" s="18">
        <v>130000</v>
      </c>
      <c r="C30" s="75"/>
      <c r="D30" s="18"/>
      <c r="E30" s="75" t="s">
        <v>334</v>
      </c>
      <c r="F30" s="18">
        <v>130000</v>
      </c>
      <c r="G30" s="18">
        <f>B30+D30-F30</f>
        <v>0</v>
      </c>
      <c r="H30" s="101" t="s">
        <v>394</v>
      </c>
      <c r="I30" s="101" t="s">
        <v>394</v>
      </c>
      <c r="J30" s="101" t="s">
        <v>394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.75">
      <c r="A31" s="96" t="s">
        <v>12</v>
      </c>
      <c r="B31" s="8"/>
      <c r="C31" s="3"/>
      <c r="D31" s="10"/>
      <c r="E31" s="3"/>
      <c r="F31" s="10"/>
      <c r="G31" s="12" t="s">
        <v>3</v>
      </c>
      <c r="H31" s="13" t="s">
        <v>7</v>
      </c>
      <c r="I31" s="12" t="s">
        <v>8</v>
      </c>
      <c r="J31" s="93" t="s">
        <v>9</v>
      </c>
      <c r="K31" s="1">
        <v>19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.75">
      <c r="A32" s="7"/>
      <c r="B32" s="9" t="s">
        <v>3</v>
      </c>
      <c r="C32" s="4"/>
      <c r="D32" s="11" t="s">
        <v>4</v>
      </c>
      <c r="E32" s="4"/>
      <c r="F32" s="11" t="s">
        <v>5</v>
      </c>
      <c r="G32" s="9" t="s">
        <v>6</v>
      </c>
      <c r="H32" s="9" t="s">
        <v>3</v>
      </c>
      <c r="I32" s="14"/>
      <c r="J32" s="93" t="s">
        <v>39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.75">
      <c r="A33" s="16" t="s">
        <v>79</v>
      </c>
      <c r="B33" s="18">
        <v>30000</v>
      </c>
      <c r="C33" s="75"/>
      <c r="D33" s="18"/>
      <c r="E33" s="75" t="s">
        <v>334</v>
      </c>
      <c r="F33" s="18">
        <v>30000</v>
      </c>
      <c r="G33" s="18">
        <f>B33+D33-F33</f>
        <v>0</v>
      </c>
      <c r="H33" s="101" t="s">
        <v>394</v>
      </c>
      <c r="I33" s="101" t="s">
        <v>394</v>
      </c>
      <c r="J33" s="101" t="s">
        <v>394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.75">
      <c r="A34" s="16" t="s">
        <v>80</v>
      </c>
      <c r="B34" s="18">
        <v>21500</v>
      </c>
      <c r="C34" s="75"/>
      <c r="D34" s="18"/>
      <c r="E34" s="75" t="s">
        <v>334</v>
      </c>
      <c r="F34" s="18">
        <v>21500</v>
      </c>
      <c r="G34" s="18">
        <f t="shared" ref="G34" si="6">B34+D34-F34</f>
        <v>0</v>
      </c>
      <c r="H34" s="101" t="s">
        <v>394</v>
      </c>
      <c r="I34" s="101" t="s">
        <v>394</v>
      </c>
      <c r="J34" s="101" t="s">
        <v>394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.75">
      <c r="A35" s="16" t="s">
        <v>81</v>
      </c>
      <c r="B35" s="18">
        <v>94000</v>
      </c>
      <c r="C35" s="75"/>
      <c r="D35" s="18"/>
      <c r="E35" s="75"/>
      <c r="F35" s="18"/>
      <c r="G35" s="18">
        <f>B35+D35-F35</f>
        <v>94000</v>
      </c>
      <c r="H35" s="18">
        <f>G35-I35</f>
        <v>0</v>
      </c>
      <c r="I35" s="18">
        <f>J35</f>
        <v>94000</v>
      </c>
      <c r="J35" s="18">
        <v>94000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.75">
      <c r="A36" s="16" t="s">
        <v>363</v>
      </c>
      <c r="B36" s="18"/>
      <c r="C36" s="75" t="s">
        <v>361</v>
      </c>
      <c r="D36" s="18">
        <v>93000</v>
      </c>
      <c r="E36" s="75"/>
      <c r="F36" s="18"/>
      <c r="G36" s="18">
        <f>B36+D36-F36</f>
        <v>93000</v>
      </c>
      <c r="H36" s="18">
        <f>G36-I36</f>
        <v>0</v>
      </c>
      <c r="I36" s="18">
        <f>J36</f>
        <v>93000</v>
      </c>
      <c r="J36" s="18">
        <v>93000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.75">
      <c r="A37" s="20"/>
      <c r="B37" s="21">
        <f>SUM(B26:B36)</f>
        <v>795500</v>
      </c>
      <c r="C37" s="78"/>
      <c r="D37" s="21">
        <f>SUM(D26:D36)</f>
        <v>93000</v>
      </c>
      <c r="E37" s="78"/>
      <c r="F37" s="21">
        <f>SUM(F26:F36)</f>
        <v>184000</v>
      </c>
      <c r="G37" s="21">
        <f>SUM(G26:G36)</f>
        <v>704500</v>
      </c>
      <c r="H37" s="21">
        <f t="shared" ref="H37:J37" si="7">SUM(H26:H36)</f>
        <v>0</v>
      </c>
      <c r="I37" s="21">
        <f t="shared" si="7"/>
        <v>704500</v>
      </c>
      <c r="J37" s="21">
        <f t="shared" si="7"/>
        <v>704500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>
      <c r="A38" s="35" t="s">
        <v>356</v>
      </c>
      <c r="B38" s="25"/>
      <c r="C38" s="81"/>
      <c r="D38" s="25"/>
      <c r="E38" s="81"/>
      <c r="F38" s="25"/>
      <c r="G38" s="25"/>
      <c r="H38" s="25"/>
      <c r="I38" s="25"/>
      <c r="J38" s="2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>
      <c r="A39" s="24" t="s">
        <v>371</v>
      </c>
      <c r="B39" s="25"/>
      <c r="C39" s="81" t="s">
        <v>361</v>
      </c>
      <c r="D39" s="25">
        <v>40000</v>
      </c>
      <c r="E39" s="81"/>
      <c r="F39" s="25"/>
      <c r="G39" s="25">
        <f>B39+D39-F39</f>
        <v>40000</v>
      </c>
      <c r="H39" s="102">
        <f>G39</f>
        <v>40000</v>
      </c>
      <c r="I39" s="102" t="s">
        <v>394</v>
      </c>
      <c r="J39" s="102" t="s">
        <v>394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>
      <c r="A40" s="73"/>
      <c r="B40" s="97">
        <f>SUM(B39)</f>
        <v>0</v>
      </c>
      <c r="C40" s="98"/>
      <c r="D40" s="97">
        <f>SUM(D39)</f>
        <v>40000</v>
      </c>
      <c r="E40" s="98"/>
      <c r="F40" s="97">
        <f>SUM(F39)</f>
        <v>0</v>
      </c>
      <c r="G40" s="97">
        <f>SUM(G39)</f>
        <v>40000</v>
      </c>
      <c r="H40" s="97">
        <f t="shared" ref="H40:J40" si="8">SUM(H39)</f>
        <v>40000</v>
      </c>
      <c r="I40" s="97">
        <f t="shared" si="8"/>
        <v>0</v>
      </c>
      <c r="J40" s="97">
        <f t="shared" si="8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.75">
      <c r="A41" s="37" t="s">
        <v>86</v>
      </c>
      <c r="B41" s="38">
        <f>B24+B40</f>
        <v>0</v>
      </c>
      <c r="C41" s="73"/>
      <c r="D41" s="38">
        <f>D24+D40</f>
        <v>65000</v>
      </c>
      <c r="E41" s="73"/>
      <c r="F41" s="38">
        <f>F24+F40</f>
        <v>0</v>
      </c>
      <c r="G41" s="38">
        <f>G24+G40</f>
        <v>65000</v>
      </c>
      <c r="H41" s="38">
        <f t="shared" ref="H41:J41" si="9">H24+H40</f>
        <v>65000</v>
      </c>
      <c r="I41" s="38">
        <f t="shared" si="9"/>
        <v>0</v>
      </c>
      <c r="J41" s="38">
        <f t="shared" si="9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.75">
      <c r="A42" s="39" t="s">
        <v>88</v>
      </c>
      <c r="B42" s="41">
        <f>B9+B14+B17+B21+B37</f>
        <v>2905500</v>
      </c>
      <c r="C42" s="20"/>
      <c r="D42" s="41">
        <f>D9+D14+D17+D21+D37</f>
        <v>95800</v>
      </c>
      <c r="E42" s="20"/>
      <c r="F42" s="41">
        <f>F9+F14+F17+F21+F37</f>
        <v>184000</v>
      </c>
      <c r="G42" s="41">
        <f>G9+G14+G17+G21+G37</f>
        <v>2817300</v>
      </c>
      <c r="H42" s="41">
        <f t="shared" ref="H42:J42" si="10">H9+H14+H17+H21+H37</f>
        <v>249546.91999999995</v>
      </c>
      <c r="I42" s="41">
        <f t="shared" si="10"/>
        <v>2567753.08</v>
      </c>
      <c r="J42" s="41">
        <f t="shared" si="10"/>
        <v>2567753.08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.75">
      <c r="A43" s="40" t="s">
        <v>87</v>
      </c>
      <c r="B43" s="42">
        <f>B41+B42</f>
        <v>2905500</v>
      </c>
      <c r="C43" s="22"/>
      <c r="D43" s="42">
        <f>D41+D42</f>
        <v>160800</v>
      </c>
      <c r="E43" s="22"/>
      <c r="F43" s="42">
        <f>F41+F42</f>
        <v>184000</v>
      </c>
      <c r="G43" s="42">
        <f>G41+G42</f>
        <v>2882300</v>
      </c>
      <c r="H43" s="42">
        <f t="shared" ref="H43:J43" si="11">H41+H42</f>
        <v>314546.91999999993</v>
      </c>
      <c r="I43" s="42">
        <f t="shared" si="11"/>
        <v>2567753.08</v>
      </c>
      <c r="J43" s="42">
        <f t="shared" si="11"/>
        <v>2567753.08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</sheetData>
  <mergeCells count="3">
    <mergeCell ref="A1:J1"/>
    <mergeCell ref="A2:J2"/>
    <mergeCell ref="A3:J3"/>
  </mergeCells>
  <pageMargins left="0.73" right="0.19685039370078741" top="0.31" bottom="0.23622047244094491" header="0.31496062992125984" footer="0.23622047244094491"/>
  <pageSetup paperSize="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739"/>
  <sheetViews>
    <sheetView view="pageBreakPreview" zoomScaleSheetLayoutView="100" workbookViewId="0">
      <selection activeCell="L31" sqref="L31"/>
    </sheetView>
  </sheetViews>
  <sheetFormatPr defaultRowHeight="14.25"/>
  <cols>
    <col min="1" max="1" width="55.375" customWidth="1"/>
    <col min="2" max="2" width="12.75" customWidth="1"/>
    <col min="3" max="3" width="2.25" customWidth="1"/>
    <col min="4" max="4" width="11.625" customWidth="1"/>
    <col min="5" max="5" width="1.75" customWidth="1"/>
    <col min="6" max="6" width="11.25" customWidth="1"/>
    <col min="7" max="7" width="11.5" customWidth="1"/>
    <col min="8" max="8" width="12.625" customWidth="1"/>
    <col min="9" max="9" width="12.25" customWidth="1"/>
    <col min="10" max="10" width="11.875" customWidth="1"/>
    <col min="11" max="11" width="11.625" customWidth="1"/>
    <col min="12" max="12" width="2.5" customWidth="1"/>
  </cols>
  <sheetData>
    <row r="1" spans="1:23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>
        <v>20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>
      <c r="A2" s="147" t="s">
        <v>115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8.75">
      <c r="A4" s="6"/>
      <c r="B4" s="8"/>
      <c r="C4" s="3"/>
      <c r="D4" s="10"/>
      <c r="E4" s="3"/>
      <c r="F4" s="10"/>
      <c r="G4" s="12" t="s">
        <v>3</v>
      </c>
      <c r="H4" s="13" t="s">
        <v>7</v>
      </c>
      <c r="I4" s="12" t="s">
        <v>8</v>
      </c>
      <c r="J4" s="148" t="s">
        <v>9</v>
      </c>
      <c r="K4" s="14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8.75">
      <c r="A5" s="7" t="s">
        <v>12</v>
      </c>
      <c r="B5" s="9" t="s">
        <v>3</v>
      </c>
      <c r="C5" s="4"/>
      <c r="D5" s="11" t="s">
        <v>4</v>
      </c>
      <c r="E5" s="4"/>
      <c r="F5" s="11" t="s">
        <v>5</v>
      </c>
      <c r="G5" s="9" t="s">
        <v>6</v>
      </c>
      <c r="H5" s="9" t="s">
        <v>3</v>
      </c>
      <c r="I5" s="14"/>
      <c r="J5" s="15" t="s">
        <v>10</v>
      </c>
      <c r="K5" s="15" t="s">
        <v>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75">
      <c r="A6" s="15" t="s">
        <v>93</v>
      </c>
      <c r="B6" s="18"/>
      <c r="C6" s="75"/>
      <c r="D6" s="18"/>
      <c r="E6" s="75"/>
      <c r="F6" s="18"/>
      <c r="G6" s="18"/>
      <c r="H6" s="18"/>
      <c r="I6" s="18"/>
      <c r="J6" s="18"/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>
      <c r="A7" s="16" t="s">
        <v>13</v>
      </c>
      <c r="B7" s="18">
        <v>502560</v>
      </c>
      <c r="C7" s="75"/>
      <c r="D7" s="18"/>
      <c r="E7" s="75"/>
      <c r="F7" s="18"/>
      <c r="G7" s="18">
        <f>B7+D7-F7</f>
        <v>502560</v>
      </c>
      <c r="H7" s="18">
        <f>G7-I7</f>
        <v>4080</v>
      </c>
      <c r="I7" s="18">
        <f>J7</f>
        <v>498480</v>
      </c>
      <c r="J7" s="18">
        <v>498480</v>
      </c>
      <c r="K7" s="1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75">
      <c r="A8" s="16" t="s">
        <v>18</v>
      </c>
      <c r="B8" s="18">
        <v>22020</v>
      </c>
      <c r="C8" s="75" t="s">
        <v>382</v>
      </c>
      <c r="D8" s="18">
        <v>7891</v>
      </c>
      <c r="E8" s="75"/>
      <c r="F8" s="18"/>
      <c r="G8" s="18">
        <f>B8+D8-F8</f>
        <v>29911</v>
      </c>
      <c r="H8" s="18">
        <f>G8-I8</f>
        <v>0</v>
      </c>
      <c r="I8" s="18">
        <f>J8</f>
        <v>29911</v>
      </c>
      <c r="J8" s="18">
        <v>29911</v>
      </c>
      <c r="K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>
      <c r="A9" s="31"/>
      <c r="B9" s="32">
        <f>SUM(B7:B8)</f>
        <v>524580</v>
      </c>
      <c r="C9" s="77"/>
      <c r="D9" s="32">
        <f>SUM(D7:D8)</f>
        <v>7891</v>
      </c>
      <c r="E9" s="77"/>
      <c r="F9" s="32">
        <f>SUM(F7:F8)</f>
        <v>0</v>
      </c>
      <c r="G9" s="32">
        <f>SUM(G7:G8)</f>
        <v>532471</v>
      </c>
      <c r="H9" s="32">
        <f t="shared" ref="H9:K9" si="0">SUM(H7:H8)</f>
        <v>4080</v>
      </c>
      <c r="I9" s="32">
        <f t="shared" si="0"/>
        <v>528391</v>
      </c>
      <c r="J9" s="32">
        <f t="shared" si="0"/>
        <v>528391</v>
      </c>
      <c r="K9" s="32">
        <f t="shared" si="0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35" t="s">
        <v>15</v>
      </c>
      <c r="B10" s="18"/>
      <c r="C10" s="75"/>
      <c r="D10" s="18"/>
      <c r="E10" s="75"/>
      <c r="F10" s="18"/>
      <c r="G10" s="18"/>
      <c r="H10" s="18"/>
      <c r="I10" s="18"/>
      <c r="J10" s="18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>
      <c r="A11" s="16" t="s">
        <v>17</v>
      </c>
      <c r="B11" s="18">
        <v>135480</v>
      </c>
      <c r="C11" s="94" t="s">
        <v>383</v>
      </c>
      <c r="D11" s="18">
        <f>38000+13900</f>
        <v>51900</v>
      </c>
      <c r="E11" s="75"/>
      <c r="F11" s="18"/>
      <c r="G11" s="18">
        <f>B11+D11-F11</f>
        <v>187380</v>
      </c>
      <c r="H11" s="18">
        <f>G11-I11</f>
        <v>16020</v>
      </c>
      <c r="I11" s="18">
        <f>J11</f>
        <v>171360</v>
      </c>
      <c r="J11" s="18">
        <v>171360</v>
      </c>
      <c r="K11" s="1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>
      <c r="A12" s="16" t="s">
        <v>18</v>
      </c>
      <c r="B12" s="18">
        <v>41880</v>
      </c>
      <c r="C12" s="94" t="s">
        <v>383</v>
      </c>
      <c r="D12" s="18">
        <f>10500+57270</f>
        <v>67770</v>
      </c>
      <c r="E12" s="75"/>
      <c r="F12" s="18"/>
      <c r="G12" s="18">
        <f>B12+D12-F12</f>
        <v>109650</v>
      </c>
      <c r="H12" s="18">
        <f>G12-I12</f>
        <v>16200</v>
      </c>
      <c r="I12" s="18">
        <f>J12</f>
        <v>93450</v>
      </c>
      <c r="J12" s="18">
        <v>93450</v>
      </c>
      <c r="K12" s="1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>
      <c r="A13" s="31"/>
      <c r="B13" s="32">
        <f>SUM(B11:B12)</f>
        <v>177360</v>
      </c>
      <c r="C13" s="77"/>
      <c r="D13" s="32">
        <f>SUM(D11:D12)</f>
        <v>119670</v>
      </c>
      <c r="E13" s="77"/>
      <c r="F13" s="32">
        <f>SUM(F11:F12)</f>
        <v>0</v>
      </c>
      <c r="G13" s="32">
        <f>SUM(G11:G12)</f>
        <v>297030</v>
      </c>
      <c r="H13" s="32">
        <f t="shared" ref="H13:K13" si="1">SUM(H11:H12)</f>
        <v>32220</v>
      </c>
      <c r="I13" s="32">
        <f t="shared" si="1"/>
        <v>264810</v>
      </c>
      <c r="J13" s="32">
        <f t="shared" si="1"/>
        <v>264810</v>
      </c>
      <c r="K13" s="32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>
      <c r="A14" s="35" t="s">
        <v>19</v>
      </c>
      <c r="B14" s="18"/>
      <c r="C14" s="75"/>
      <c r="D14" s="18"/>
      <c r="E14" s="75"/>
      <c r="F14" s="18"/>
      <c r="G14" s="18"/>
      <c r="H14" s="18"/>
      <c r="I14" s="18"/>
      <c r="J14" s="18"/>
      <c r="K14" s="1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>
      <c r="A15" s="16" t="s">
        <v>20</v>
      </c>
      <c r="B15" s="18">
        <v>30000</v>
      </c>
      <c r="C15" s="75"/>
      <c r="D15" s="18"/>
      <c r="E15" s="75"/>
      <c r="F15" s="18"/>
      <c r="G15" s="18">
        <f t="shared" ref="G15:G16" si="2">B15+D15-F15</f>
        <v>30000</v>
      </c>
      <c r="H15" s="18">
        <f>G15</f>
        <v>30000</v>
      </c>
      <c r="I15" s="101" t="s">
        <v>394</v>
      </c>
      <c r="J15" s="101" t="s">
        <v>394</v>
      </c>
      <c r="K15" s="1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>
      <c r="A16" s="16" t="s">
        <v>21</v>
      </c>
      <c r="B16" s="18">
        <v>10000</v>
      </c>
      <c r="C16" s="75"/>
      <c r="D16" s="18"/>
      <c r="E16" s="75"/>
      <c r="F16" s="18"/>
      <c r="G16" s="18">
        <f t="shared" si="2"/>
        <v>10000</v>
      </c>
      <c r="H16" s="18">
        <f>G16-I16</f>
        <v>8700</v>
      </c>
      <c r="I16" s="18">
        <f>J16</f>
        <v>1300</v>
      </c>
      <c r="J16" s="18">
        <v>1300</v>
      </c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8.75">
      <c r="A17" s="31"/>
      <c r="B17" s="32">
        <f>SUM(B15:B16)</f>
        <v>40000</v>
      </c>
      <c r="C17" s="77"/>
      <c r="D17" s="32">
        <f>SUM(D15:D16)</f>
        <v>0</v>
      </c>
      <c r="E17" s="77"/>
      <c r="F17" s="32">
        <f>SUM(F15:F16)</f>
        <v>0</v>
      </c>
      <c r="G17" s="32">
        <f>SUM(G15:G16)</f>
        <v>40000</v>
      </c>
      <c r="H17" s="32">
        <f t="shared" ref="H17:K17" si="3">SUM(H15:H16)</f>
        <v>38700</v>
      </c>
      <c r="I17" s="32">
        <f t="shared" si="3"/>
        <v>1300</v>
      </c>
      <c r="J17" s="32">
        <f t="shared" si="3"/>
        <v>1300</v>
      </c>
      <c r="K17" s="32">
        <f t="shared" si="3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.75">
      <c r="A18" s="35" t="s">
        <v>25</v>
      </c>
      <c r="B18" s="18"/>
      <c r="C18" s="75"/>
      <c r="D18" s="18"/>
      <c r="E18" s="75"/>
      <c r="F18" s="18"/>
      <c r="G18" s="18"/>
      <c r="H18" s="18"/>
      <c r="I18" s="18"/>
      <c r="J18" s="18"/>
      <c r="K18" s="1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8.75">
      <c r="A19" s="16" t="s">
        <v>95</v>
      </c>
      <c r="B19" s="18">
        <v>5000</v>
      </c>
      <c r="C19" s="75"/>
      <c r="D19" s="18"/>
      <c r="E19" s="75"/>
      <c r="F19" s="18"/>
      <c r="G19" s="18">
        <f>B19+D19-F19</f>
        <v>5000</v>
      </c>
      <c r="H19" s="18">
        <f>G19</f>
        <v>5000</v>
      </c>
      <c r="I19" s="101" t="s">
        <v>394</v>
      </c>
      <c r="J19" s="101" t="s">
        <v>394</v>
      </c>
      <c r="K19" s="1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.75">
      <c r="A20" s="20"/>
      <c r="B20" s="21">
        <f>SUM(B19)</f>
        <v>5000</v>
      </c>
      <c r="C20" s="78"/>
      <c r="D20" s="21">
        <f>SUM(D19)</f>
        <v>0</v>
      </c>
      <c r="E20" s="78"/>
      <c r="F20" s="21">
        <f>SUM(F19)</f>
        <v>0</v>
      </c>
      <c r="G20" s="21">
        <f>SUM(G19)</f>
        <v>5000</v>
      </c>
      <c r="H20" s="21">
        <f t="shared" ref="H20:K20" si="4">SUM(H19)</f>
        <v>5000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75">
      <c r="A21" s="35" t="s">
        <v>42</v>
      </c>
      <c r="B21" s="18"/>
      <c r="C21" s="75"/>
      <c r="D21" s="18"/>
      <c r="E21" s="75"/>
      <c r="F21" s="18"/>
      <c r="G21" s="18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75">
      <c r="A22" s="16" t="s">
        <v>96</v>
      </c>
      <c r="B22" s="18">
        <v>180000</v>
      </c>
      <c r="C22" s="75"/>
      <c r="D22" s="18"/>
      <c r="E22" s="75">
        <v>2</v>
      </c>
      <c r="F22" s="18">
        <v>84500</v>
      </c>
      <c r="G22" s="18">
        <f>B22+D22-F22</f>
        <v>95500</v>
      </c>
      <c r="H22" s="18">
        <f>G22-I22</f>
        <v>65500</v>
      </c>
      <c r="I22" s="18">
        <f>J22</f>
        <v>30000</v>
      </c>
      <c r="J22" s="18">
        <v>30000</v>
      </c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8.75">
      <c r="A23" s="31"/>
      <c r="B23" s="32">
        <f>SUM(B22)</f>
        <v>180000</v>
      </c>
      <c r="C23" s="77"/>
      <c r="D23" s="32">
        <f>SUM(D22)</f>
        <v>0</v>
      </c>
      <c r="E23" s="77"/>
      <c r="F23" s="32">
        <f>SUM(F22)</f>
        <v>84500</v>
      </c>
      <c r="G23" s="32">
        <f>SUM(G22)</f>
        <v>95500</v>
      </c>
      <c r="H23" s="32">
        <f t="shared" ref="H23:K23" si="5">SUM(H22)</f>
        <v>65500</v>
      </c>
      <c r="I23" s="32">
        <f t="shared" si="5"/>
        <v>30000</v>
      </c>
      <c r="J23" s="32">
        <f t="shared" si="5"/>
        <v>30000</v>
      </c>
      <c r="K23" s="32">
        <f t="shared" si="5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8.75">
      <c r="A24" s="35" t="s">
        <v>27</v>
      </c>
      <c r="B24" s="18"/>
      <c r="C24" s="75"/>
      <c r="D24" s="18"/>
      <c r="E24" s="75"/>
      <c r="F24" s="18"/>
      <c r="G24" s="18"/>
      <c r="H24" s="18"/>
      <c r="I24" s="18"/>
      <c r="J24" s="18"/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8.75">
      <c r="A25" s="16" t="s">
        <v>97</v>
      </c>
      <c r="B25" s="18">
        <v>10000</v>
      </c>
      <c r="C25" s="75"/>
      <c r="D25" s="18"/>
      <c r="E25" s="75"/>
      <c r="F25" s="18"/>
      <c r="G25" s="18">
        <f t="shared" ref="G25:G29" si="6">B25+D25-F25</f>
        <v>10000</v>
      </c>
      <c r="H25" s="18">
        <f>G25</f>
        <v>10000</v>
      </c>
      <c r="I25" s="101" t="s">
        <v>394</v>
      </c>
      <c r="J25" s="101" t="s">
        <v>394</v>
      </c>
      <c r="K25" s="1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>
      <c r="A26" s="16" t="s">
        <v>98</v>
      </c>
      <c r="B26" s="18">
        <v>10000</v>
      </c>
      <c r="C26" s="75"/>
      <c r="D26" s="18"/>
      <c r="E26" s="75"/>
      <c r="F26" s="18"/>
      <c r="G26" s="18">
        <f t="shared" si="6"/>
        <v>10000</v>
      </c>
      <c r="H26" s="18">
        <f>G26</f>
        <v>10000</v>
      </c>
      <c r="I26" s="101" t="s">
        <v>394</v>
      </c>
      <c r="J26" s="101" t="s">
        <v>394</v>
      </c>
      <c r="K26" s="1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>
      <c r="A27" s="16" t="s">
        <v>99</v>
      </c>
      <c r="B27" s="18">
        <v>50000</v>
      </c>
      <c r="C27" s="75"/>
      <c r="D27" s="18"/>
      <c r="E27" s="75"/>
      <c r="F27" s="18"/>
      <c r="G27" s="18">
        <f t="shared" si="6"/>
        <v>50000</v>
      </c>
      <c r="H27" s="18">
        <f>G27</f>
        <v>50000</v>
      </c>
      <c r="I27" s="101" t="s">
        <v>394</v>
      </c>
      <c r="J27" s="101" t="s">
        <v>394</v>
      </c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>
      <c r="A28" s="16" t="s">
        <v>101</v>
      </c>
      <c r="B28" s="18">
        <v>50000</v>
      </c>
      <c r="C28" s="75"/>
      <c r="D28" s="18"/>
      <c r="E28" s="75"/>
      <c r="F28" s="18"/>
      <c r="G28" s="18">
        <f t="shared" si="6"/>
        <v>50000</v>
      </c>
      <c r="H28" s="18">
        <f>G28-I28</f>
        <v>49420</v>
      </c>
      <c r="I28" s="18">
        <f>K28</f>
        <v>580</v>
      </c>
      <c r="J28" s="18"/>
      <c r="K28" s="18">
        <v>580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>
      <c r="A29" s="16" t="s">
        <v>102</v>
      </c>
      <c r="B29" s="18">
        <v>20000</v>
      </c>
      <c r="C29" s="75"/>
      <c r="D29" s="18"/>
      <c r="E29" s="75"/>
      <c r="F29" s="18"/>
      <c r="G29" s="18">
        <f t="shared" si="6"/>
        <v>20000</v>
      </c>
      <c r="H29" s="18">
        <f>G29</f>
        <v>20000</v>
      </c>
      <c r="I29" s="101" t="s">
        <v>394</v>
      </c>
      <c r="J29" s="18"/>
      <c r="K29" s="101" t="s">
        <v>394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>
      <c r="A30" s="6"/>
      <c r="B30" s="8"/>
      <c r="C30" s="79"/>
      <c r="D30" s="10"/>
      <c r="E30" s="79"/>
      <c r="F30" s="10"/>
      <c r="G30" s="12" t="s">
        <v>3</v>
      </c>
      <c r="H30" s="13" t="s">
        <v>7</v>
      </c>
      <c r="I30" s="12" t="s">
        <v>8</v>
      </c>
      <c r="J30" s="148" t="s">
        <v>9</v>
      </c>
      <c r="K30" s="149"/>
      <c r="L30" s="1">
        <v>21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>
      <c r="A31" s="7" t="s">
        <v>12</v>
      </c>
      <c r="B31" s="9" t="s">
        <v>3</v>
      </c>
      <c r="C31" s="80"/>
      <c r="D31" s="11" t="s">
        <v>4</v>
      </c>
      <c r="E31" s="80"/>
      <c r="F31" s="11" t="s">
        <v>5</v>
      </c>
      <c r="G31" s="9" t="s">
        <v>6</v>
      </c>
      <c r="H31" s="9" t="s">
        <v>3</v>
      </c>
      <c r="I31" s="14"/>
      <c r="J31" s="15" t="s">
        <v>10</v>
      </c>
      <c r="K31" s="15" t="s">
        <v>94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>
      <c r="A32" s="26" t="s">
        <v>103</v>
      </c>
      <c r="B32" s="18">
        <v>50000</v>
      </c>
      <c r="C32" s="75"/>
      <c r="D32" s="18"/>
      <c r="E32" s="75"/>
      <c r="F32" s="18"/>
      <c r="G32" s="18">
        <f>B32+D32-F32</f>
        <v>50000</v>
      </c>
      <c r="H32" s="18">
        <f>G32</f>
        <v>50000</v>
      </c>
      <c r="I32" s="101" t="s">
        <v>394</v>
      </c>
      <c r="J32" s="101" t="s">
        <v>394</v>
      </c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8.75">
      <c r="A33" s="20"/>
      <c r="B33" s="21">
        <f>SUM(B25:B32)</f>
        <v>190000</v>
      </c>
      <c r="C33" s="78"/>
      <c r="D33" s="21">
        <f>SUM(D25:D32)</f>
        <v>0</v>
      </c>
      <c r="E33" s="78"/>
      <c r="F33" s="21">
        <f>SUM(F25:F32)</f>
        <v>0</v>
      </c>
      <c r="G33" s="21">
        <f>SUM(G25:G32)</f>
        <v>190000</v>
      </c>
      <c r="H33" s="21">
        <f t="shared" ref="H33:K33" si="7">SUM(H25:H32)</f>
        <v>189420</v>
      </c>
      <c r="I33" s="21">
        <f t="shared" si="7"/>
        <v>580</v>
      </c>
      <c r="J33" s="21">
        <f t="shared" si="7"/>
        <v>0</v>
      </c>
      <c r="K33" s="21">
        <f t="shared" si="7"/>
        <v>580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8.75">
      <c r="A34" s="35" t="s">
        <v>37</v>
      </c>
      <c r="B34" s="18"/>
      <c r="C34" s="75"/>
      <c r="D34" s="18"/>
      <c r="E34" s="75"/>
      <c r="F34" s="18"/>
      <c r="G34" s="18"/>
      <c r="H34" s="18"/>
      <c r="I34" s="18"/>
      <c r="J34" s="18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8.75">
      <c r="A35" s="16" t="s">
        <v>104</v>
      </c>
      <c r="B35" s="18">
        <v>200000</v>
      </c>
      <c r="C35" s="75"/>
      <c r="D35" s="18"/>
      <c r="E35" s="75"/>
      <c r="F35" s="18"/>
      <c r="G35" s="18">
        <f>B35+D35-F35</f>
        <v>200000</v>
      </c>
      <c r="H35" s="18">
        <f>G35-I35</f>
        <v>75000</v>
      </c>
      <c r="I35" s="18">
        <f>K35</f>
        <v>125000</v>
      </c>
      <c r="J35" s="18"/>
      <c r="K35" s="18">
        <v>125000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8.75">
      <c r="A36" s="45"/>
      <c r="B36" s="21">
        <f>SUM(B35)</f>
        <v>200000</v>
      </c>
      <c r="C36" s="78"/>
      <c r="D36" s="21">
        <f>SUM(D35)</f>
        <v>0</v>
      </c>
      <c r="E36" s="78"/>
      <c r="F36" s="21">
        <f>SUM(F35)</f>
        <v>0</v>
      </c>
      <c r="G36" s="21">
        <f>SUM(G35)</f>
        <v>200000</v>
      </c>
      <c r="H36" s="21">
        <f t="shared" ref="H36:K36" si="8">SUM(H35)</f>
        <v>75000</v>
      </c>
      <c r="I36" s="21">
        <f t="shared" si="8"/>
        <v>125000</v>
      </c>
      <c r="J36" s="21">
        <f t="shared" si="8"/>
        <v>0</v>
      </c>
      <c r="K36" s="21">
        <f t="shared" si="8"/>
        <v>125000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8.75">
      <c r="A37" s="35" t="s">
        <v>105</v>
      </c>
      <c r="B37" s="18"/>
      <c r="C37" s="75"/>
      <c r="D37" s="18"/>
      <c r="E37" s="75"/>
      <c r="F37" s="18"/>
      <c r="G37" s="18"/>
      <c r="H37" s="18"/>
      <c r="I37" s="18"/>
      <c r="J37" s="18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8.75">
      <c r="A38" s="26" t="s">
        <v>106</v>
      </c>
      <c r="B38" s="18">
        <v>10000</v>
      </c>
      <c r="C38" s="75"/>
      <c r="D38" s="18"/>
      <c r="E38" s="75"/>
      <c r="F38" s="18"/>
      <c r="G38" s="18">
        <f>B38+D38-F38</f>
        <v>10000</v>
      </c>
      <c r="H38" s="18">
        <f>G38-I38</f>
        <v>9140.5</v>
      </c>
      <c r="I38" s="18">
        <f>K38</f>
        <v>859.5</v>
      </c>
      <c r="J38" s="18"/>
      <c r="K38" s="18">
        <v>859.5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8.75">
      <c r="A39" s="51"/>
      <c r="B39" s="32">
        <f>SUM(B38)</f>
        <v>10000</v>
      </c>
      <c r="C39" s="77"/>
      <c r="D39" s="32">
        <f>SUM(D38)</f>
        <v>0</v>
      </c>
      <c r="E39" s="77"/>
      <c r="F39" s="32">
        <f>SUM(F38)</f>
        <v>0</v>
      </c>
      <c r="G39" s="32">
        <f>SUM(G38)</f>
        <v>10000</v>
      </c>
      <c r="H39" s="32">
        <f t="shared" ref="H39:K39" si="9">SUM(H38)</f>
        <v>9140.5</v>
      </c>
      <c r="I39" s="32">
        <f t="shared" si="9"/>
        <v>859.5</v>
      </c>
      <c r="J39" s="32">
        <f t="shared" si="9"/>
        <v>0</v>
      </c>
      <c r="K39" s="32">
        <f t="shared" si="9"/>
        <v>859.5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8.75">
      <c r="A40" s="35" t="s">
        <v>112</v>
      </c>
      <c r="B40" s="18"/>
      <c r="C40" s="75"/>
      <c r="D40" s="18"/>
      <c r="E40" s="75"/>
      <c r="F40" s="18"/>
      <c r="G40" s="18"/>
      <c r="H40" s="18"/>
      <c r="I40" s="18"/>
      <c r="J40" s="18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8.75">
      <c r="A41" s="26" t="s">
        <v>107</v>
      </c>
      <c r="B41" s="18"/>
      <c r="C41" s="75"/>
      <c r="D41" s="18"/>
      <c r="E41" s="75"/>
      <c r="F41" s="18"/>
      <c r="G41" s="18"/>
      <c r="H41" s="18"/>
      <c r="I41" s="18"/>
      <c r="J41" s="18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8.75">
      <c r="A42" s="26" t="s">
        <v>108</v>
      </c>
      <c r="B42" s="18">
        <v>49920</v>
      </c>
      <c r="C42" s="75"/>
      <c r="D42" s="18"/>
      <c r="E42" s="75"/>
      <c r="F42" s="18"/>
      <c r="G42" s="18">
        <f t="shared" ref="G42:G44" si="10">B42+D42-F42</f>
        <v>49920</v>
      </c>
      <c r="H42" s="18">
        <f>G42</f>
        <v>49920</v>
      </c>
      <c r="I42" s="101" t="s">
        <v>394</v>
      </c>
      <c r="J42" s="101" t="s">
        <v>394</v>
      </c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8.75">
      <c r="A43" s="26" t="s">
        <v>109</v>
      </c>
      <c r="B43" s="18">
        <v>47000</v>
      </c>
      <c r="C43" s="75"/>
      <c r="D43" s="18"/>
      <c r="E43" s="75"/>
      <c r="F43" s="18"/>
      <c r="G43" s="18">
        <f t="shared" si="10"/>
        <v>47000</v>
      </c>
      <c r="H43" s="18">
        <f>G43</f>
        <v>47000</v>
      </c>
      <c r="I43" s="101" t="s">
        <v>394</v>
      </c>
      <c r="J43" s="101" t="s">
        <v>394</v>
      </c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8.75">
      <c r="A44" s="26" t="s">
        <v>110</v>
      </c>
      <c r="B44" s="18">
        <v>10000</v>
      </c>
      <c r="C44" s="75"/>
      <c r="D44" s="18"/>
      <c r="E44" s="75"/>
      <c r="F44" s="18"/>
      <c r="G44" s="18">
        <f t="shared" si="10"/>
        <v>10000</v>
      </c>
      <c r="H44" s="18">
        <f>G44</f>
        <v>10000</v>
      </c>
      <c r="I44" s="101" t="s">
        <v>394</v>
      </c>
      <c r="J44" s="101" t="s">
        <v>394</v>
      </c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8.75">
      <c r="A45" s="51"/>
      <c r="B45" s="32">
        <f>SUM(B42:B44)</f>
        <v>106920</v>
      </c>
      <c r="C45" s="77"/>
      <c r="D45" s="32">
        <f>SUM(D42:D44)</f>
        <v>0</v>
      </c>
      <c r="E45" s="77"/>
      <c r="F45" s="32">
        <f>SUM(F42:F44)</f>
        <v>0</v>
      </c>
      <c r="G45" s="32">
        <f>SUM(G42:G44)</f>
        <v>106920</v>
      </c>
      <c r="H45" s="32">
        <f t="shared" ref="H45:K45" si="11">SUM(H42:H44)</f>
        <v>106920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8.75">
      <c r="A46" s="35" t="s">
        <v>111</v>
      </c>
      <c r="B46" s="18"/>
      <c r="C46" s="75"/>
      <c r="D46" s="18"/>
      <c r="E46" s="75"/>
      <c r="F46" s="18"/>
      <c r="G46" s="18"/>
      <c r="H46" s="18"/>
      <c r="I46" s="18"/>
      <c r="J46" s="18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8.75">
      <c r="A47" s="26" t="s">
        <v>113</v>
      </c>
      <c r="B47" s="18">
        <v>60000</v>
      </c>
      <c r="C47" s="75"/>
      <c r="D47" s="18"/>
      <c r="E47" s="75"/>
      <c r="F47" s="18"/>
      <c r="G47" s="18">
        <f t="shared" ref="G47:G48" si="12">B47+D47-F47</f>
        <v>60000</v>
      </c>
      <c r="H47" s="18">
        <f>G47-I47</f>
        <v>0</v>
      </c>
      <c r="I47" s="18">
        <f>K47</f>
        <v>60000</v>
      </c>
      <c r="J47" s="18"/>
      <c r="K47" s="18">
        <v>60000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8.75">
      <c r="A48" s="26" t="s">
        <v>114</v>
      </c>
      <c r="B48" s="18">
        <v>30000</v>
      </c>
      <c r="C48" s="75"/>
      <c r="D48" s="18"/>
      <c r="E48" s="75"/>
      <c r="F48" s="18"/>
      <c r="G48" s="18">
        <f t="shared" si="12"/>
        <v>30000</v>
      </c>
      <c r="H48" s="18">
        <f>G48-I48</f>
        <v>0</v>
      </c>
      <c r="I48" s="18">
        <f>K48</f>
        <v>30000</v>
      </c>
      <c r="J48" s="18"/>
      <c r="K48" s="18">
        <v>30000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8.75">
      <c r="A49" s="45"/>
      <c r="B49" s="21">
        <f>SUM(B47:B48)</f>
        <v>90000</v>
      </c>
      <c r="C49" s="78"/>
      <c r="D49" s="21">
        <f>SUM(D47:D48)</f>
        <v>0</v>
      </c>
      <c r="E49" s="78"/>
      <c r="F49" s="21">
        <f>SUM(F47:F48)</f>
        <v>0</v>
      </c>
      <c r="G49" s="21">
        <f>SUM(G47:G48)</f>
        <v>90000</v>
      </c>
      <c r="H49" s="21">
        <f t="shared" ref="H49:K49" si="13">SUM(H47:H48)</f>
        <v>0</v>
      </c>
      <c r="I49" s="21">
        <f t="shared" si="13"/>
        <v>90000</v>
      </c>
      <c r="J49" s="21">
        <f t="shared" si="13"/>
        <v>0</v>
      </c>
      <c r="K49" s="21">
        <f t="shared" si="13"/>
        <v>90000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8.75">
      <c r="A50" s="51" t="s">
        <v>116</v>
      </c>
      <c r="B50" s="32">
        <f>B9+B13+B17+B23+B39+B45</f>
        <v>1038860</v>
      </c>
      <c r="C50" s="77"/>
      <c r="D50" s="32">
        <f>D9+D13+D17+D23+D39+D45</f>
        <v>127561</v>
      </c>
      <c r="E50" s="77"/>
      <c r="F50" s="32">
        <f>F9+F13+F17+F23+F39+F45</f>
        <v>84500</v>
      </c>
      <c r="G50" s="32">
        <f>G9+G13+G17+G23+G39+G45</f>
        <v>1081921</v>
      </c>
      <c r="H50" s="32">
        <f t="shared" ref="H50:K50" si="14">H9+H13+H17+H23+H39+H45</f>
        <v>256560.5</v>
      </c>
      <c r="I50" s="32">
        <f t="shared" si="14"/>
        <v>825360.5</v>
      </c>
      <c r="J50" s="32">
        <f t="shared" si="14"/>
        <v>824501</v>
      </c>
      <c r="K50" s="32">
        <f t="shared" si="14"/>
        <v>859.5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8.75">
      <c r="A51" s="45" t="s">
        <v>117</v>
      </c>
      <c r="B51" s="21">
        <f>B20+B33+B36+B49</f>
        <v>485000</v>
      </c>
      <c r="C51" s="78"/>
      <c r="D51" s="21">
        <f>D20+D33+D36+D49</f>
        <v>0</v>
      </c>
      <c r="E51" s="78"/>
      <c r="F51" s="21">
        <f>F20+F33+F36+F49</f>
        <v>0</v>
      </c>
      <c r="G51" s="21">
        <f>G20+G33+G36+G49</f>
        <v>485000</v>
      </c>
      <c r="H51" s="21">
        <f t="shared" ref="H51:K51" si="15">H20+H33+H36+H49</f>
        <v>269420</v>
      </c>
      <c r="I51" s="21">
        <f t="shared" si="15"/>
        <v>215580</v>
      </c>
      <c r="J51" s="21">
        <f t="shared" si="15"/>
        <v>0</v>
      </c>
      <c r="K51" s="21">
        <f t="shared" si="15"/>
        <v>215580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8.75">
      <c r="A52" s="52" t="s">
        <v>118</v>
      </c>
      <c r="B52" s="23">
        <f>B50+B51</f>
        <v>1523860</v>
      </c>
      <c r="C52" s="85"/>
      <c r="D52" s="23">
        <f>D50+D51</f>
        <v>127561</v>
      </c>
      <c r="E52" s="85"/>
      <c r="F52" s="23">
        <f>F50+F51</f>
        <v>84500</v>
      </c>
      <c r="G52" s="23">
        <f>G50+G51</f>
        <v>1566921</v>
      </c>
      <c r="H52" s="23">
        <f>H50+H51</f>
        <v>525980.5</v>
      </c>
      <c r="I52" s="23">
        <f>I50+I51</f>
        <v>1040940.5</v>
      </c>
      <c r="J52" s="23">
        <f>J50+J51</f>
        <v>824501</v>
      </c>
      <c r="K52" s="23">
        <f t="shared" ref="K52" si="16">K50+K51</f>
        <v>216439.5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8.75">
      <c r="A53" s="26"/>
      <c r="B53" s="18"/>
      <c r="C53" s="75"/>
      <c r="D53" s="18"/>
      <c r="E53" s="75"/>
      <c r="F53" s="18"/>
      <c r="G53" s="18"/>
      <c r="H53" s="18"/>
      <c r="I53" s="18"/>
      <c r="J53" s="18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8.75">
      <c r="A54" s="26"/>
      <c r="B54" s="18"/>
      <c r="C54" s="75"/>
      <c r="D54" s="18"/>
      <c r="E54" s="75"/>
      <c r="F54" s="18"/>
      <c r="G54" s="18"/>
      <c r="H54" s="18"/>
      <c r="I54" s="18"/>
      <c r="J54" s="18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8.75">
      <c r="A55" s="26"/>
      <c r="B55" s="18"/>
      <c r="C55" s="75"/>
      <c r="D55" s="18"/>
      <c r="E55" s="75"/>
      <c r="F55" s="18"/>
      <c r="G55" s="18"/>
      <c r="H55" s="18"/>
      <c r="I55" s="18"/>
      <c r="J55" s="18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8.75">
      <c r="A56" s="26"/>
      <c r="B56" s="18"/>
      <c r="C56" s="75"/>
      <c r="D56" s="18"/>
      <c r="E56" s="75"/>
      <c r="F56" s="18"/>
      <c r="G56" s="18"/>
      <c r="H56" s="18"/>
      <c r="I56" s="18"/>
      <c r="J56" s="18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>
      <c r="A57" s="2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8.75">
      <c r="A58" s="2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8.75">
      <c r="A59" s="2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8.75">
      <c r="A60" s="1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8.75">
      <c r="A61" s="1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8.75">
      <c r="A62" s="1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.75">
      <c r="A63" s="1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8.75">
      <c r="A64" s="1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8.75">
      <c r="A65" s="1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8.75">
      <c r="A66" s="1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8.75">
      <c r="A67" s="1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8.75">
      <c r="A68" s="1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8.75">
      <c r="A69" s="1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8.75">
      <c r="A70" s="1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8.75">
      <c r="A71" s="1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8.75">
      <c r="A72" s="1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8.75">
      <c r="A73" s="1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8.75">
      <c r="A74" s="1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8.75">
      <c r="A75" s="1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8.75">
      <c r="A76" s="1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8.75">
      <c r="A77" s="1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8.75">
      <c r="A78" s="1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.75">
      <c r="A79" s="1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8.75">
      <c r="A80" s="1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8.75">
      <c r="A81" s="1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8.75">
      <c r="A82" s="1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8.75">
      <c r="A83" s="1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8.75">
      <c r="A84" s="1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8.75">
      <c r="A85" s="1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8.75">
      <c r="A86" s="1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8.75">
      <c r="A87" s="1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8.75">
      <c r="A88" s="1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8.75">
      <c r="A89" s="1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8.75">
      <c r="A90" s="1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8.75">
      <c r="A91" s="1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8.75">
      <c r="A92" s="1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8.75">
      <c r="A93" s="1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8.75">
      <c r="A94" s="1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8.75">
      <c r="A95" s="1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8.75">
      <c r="A96" s="1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8.75">
      <c r="A97" s="1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8.75">
      <c r="A98" s="1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8.75">
      <c r="A99" s="1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8.75">
      <c r="A100" s="1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8.75">
      <c r="A101" s="1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8.75">
      <c r="A102" s="1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8.75">
      <c r="A103" s="1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8.75">
      <c r="A104" s="1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8.75">
      <c r="A105" s="1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8.75">
      <c r="A106" s="1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8.75">
      <c r="A107" s="1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8.75">
      <c r="A108" s="1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8.75">
      <c r="A109" s="1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8.75">
      <c r="A110" s="1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8.75">
      <c r="A111" s="1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8.75">
      <c r="A112" s="1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8.75">
      <c r="A113" s="1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8.75">
      <c r="A114" s="1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8.75">
      <c r="A115" s="1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8.75">
      <c r="A116" s="1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>
      <c r="A117" s="1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8.75">
      <c r="A118" s="1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8.75">
      <c r="A119" s="1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</sheetData>
  <mergeCells count="5">
    <mergeCell ref="A1:K1"/>
    <mergeCell ref="A2:K2"/>
    <mergeCell ref="A3:K3"/>
    <mergeCell ref="J4:K4"/>
    <mergeCell ref="J30:K30"/>
  </mergeCells>
  <pageMargins left="0.45" right="0.19" top="0.31" bottom="0.25" header="0.3" footer="0.25"/>
  <pageSetup paperSize="5" orientation="landscape" horizontalDpi="4294967293" verticalDpi="0" r:id="rId1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0"/>
  <sheetViews>
    <sheetView view="pageBreakPreview" zoomScaleSheetLayoutView="100" workbookViewId="0">
      <selection activeCell="K2" sqref="K2"/>
    </sheetView>
  </sheetViews>
  <sheetFormatPr defaultRowHeight="14.25"/>
  <cols>
    <col min="1" max="1" width="55.375" customWidth="1"/>
    <col min="2" max="2" width="14.875" customWidth="1"/>
    <col min="3" max="3" width="2.25" customWidth="1"/>
    <col min="4" max="4" width="14.5" customWidth="1"/>
    <col min="5" max="5" width="2.75" customWidth="1"/>
    <col min="6" max="6" width="12.75" customWidth="1"/>
    <col min="7" max="7" width="14" customWidth="1"/>
    <col min="8" max="8" width="13.75" customWidth="1"/>
    <col min="9" max="9" width="12.25" customWidth="1"/>
    <col min="10" max="10" width="14.375" customWidth="1"/>
    <col min="11" max="11" width="2.625" customWidth="1"/>
  </cols>
  <sheetData>
    <row r="1" spans="1:22" ht="18.7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">
        <v>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>
      <c r="A2" s="147" t="s">
        <v>134</v>
      </c>
      <c r="B2" s="147"/>
      <c r="C2" s="147"/>
      <c r="D2" s="147"/>
      <c r="E2" s="147"/>
      <c r="F2" s="147"/>
      <c r="G2" s="147"/>
      <c r="H2" s="147"/>
      <c r="I2" s="147"/>
      <c r="J2" s="14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75">
      <c r="A4" s="6"/>
      <c r="B4" s="8"/>
      <c r="C4" s="8"/>
      <c r="D4" s="10"/>
      <c r="E4" s="90"/>
      <c r="F4" s="10"/>
      <c r="G4" s="12" t="s">
        <v>3</v>
      </c>
      <c r="H4" s="13" t="s">
        <v>7</v>
      </c>
      <c r="I4" s="53" t="s">
        <v>8</v>
      </c>
      <c r="J4" s="12" t="s">
        <v>120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75">
      <c r="A5" s="7" t="s">
        <v>12</v>
      </c>
      <c r="B5" s="9" t="s">
        <v>3</v>
      </c>
      <c r="C5" s="55"/>
      <c r="D5" s="11" t="s">
        <v>4</v>
      </c>
      <c r="E5" s="91"/>
      <c r="F5" s="11" t="s">
        <v>5</v>
      </c>
      <c r="G5" s="9" t="s">
        <v>6</v>
      </c>
      <c r="H5" s="9" t="s">
        <v>3</v>
      </c>
      <c r="I5" s="54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75">
      <c r="A6" s="9" t="s">
        <v>121</v>
      </c>
      <c r="B6" s="57"/>
      <c r="C6" s="89"/>
      <c r="D6" s="58"/>
      <c r="E6" s="89"/>
      <c r="F6" s="58"/>
      <c r="G6" s="57"/>
      <c r="H6" s="57"/>
      <c r="I6" s="59"/>
      <c r="J6" s="5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>
      <c r="A7" s="56" t="s">
        <v>119</v>
      </c>
      <c r="B7" s="18"/>
      <c r="C7" s="75"/>
      <c r="D7" s="18"/>
      <c r="E7" s="75"/>
      <c r="F7" s="18"/>
      <c r="G7" s="18"/>
      <c r="H7" s="18"/>
      <c r="I7" s="18"/>
      <c r="J7" s="6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.75">
      <c r="A8" s="16" t="s">
        <v>122</v>
      </c>
      <c r="B8" s="18">
        <v>20000</v>
      </c>
      <c r="C8" s="75"/>
      <c r="D8" s="18"/>
      <c r="E8" s="75"/>
      <c r="F8" s="18"/>
      <c r="G8" s="18">
        <f>B8+D8-F8</f>
        <v>20000</v>
      </c>
      <c r="H8" s="18">
        <f>G8-I8</f>
        <v>0</v>
      </c>
      <c r="I8" s="18">
        <f>J8</f>
        <v>20000</v>
      </c>
      <c r="J8" s="18">
        <v>20000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.75">
      <c r="A9" s="16" t="s">
        <v>123</v>
      </c>
      <c r="B9" s="18">
        <v>340000</v>
      </c>
      <c r="C9" s="75" t="s">
        <v>382</v>
      </c>
      <c r="D9" s="18">
        <v>8127.2</v>
      </c>
      <c r="E9" s="75"/>
      <c r="F9" s="18"/>
      <c r="G9" s="18">
        <f>B9+D9-F9</f>
        <v>348127.2</v>
      </c>
      <c r="H9" s="18">
        <f>G9-I9</f>
        <v>0</v>
      </c>
      <c r="I9" s="18">
        <f>J9</f>
        <v>348127.2</v>
      </c>
      <c r="J9" s="18">
        <v>348127.2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>
      <c r="A10" s="16" t="s">
        <v>124</v>
      </c>
      <c r="B10" s="18">
        <v>239000</v>
      </c>
      <c r="C10" s="75"/>
      <c r="D10" s="18"/>
      <c r="E10" s="75"/>
      <c r="F10" s="18"/>
      <c r="G10" s="18">
        <f>B10+D10-F10</f>
        <v>239000</v>
      </c>
      <c r="H10" s="18">
        <f>G10-I10</f>
        <v>7909</v>
      </c>
      <c r="I10" s="18">
        <f>J10</f>
        <v>231091</v>
      </c>
      <c r="J10" s="18">
        <f>234788+114-1317+1-2495</f>
        <v>231091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.75">
      <c r="A11" s="16" t="s">
        <v>125</v>
      </c>
      <c r="B11" s="18">
        <v>12000</v>
      </c>
      <c r="C11" s="75"/>
      <c r="D11" s="18"/>
      <c r="E11" s="75"/>
      <c r="F11" s="18"/>
      <c r="G11" s="18">
        <f>B11+D11-F11</f>
        <v>12000</v>
      </c>
      <c r="H11" s="18">
        <f>G11-I11</f>
        <v>8712</v>
      </c>
      <c r="I11" s="18">
        <f>J11</f>
        <v>3288</v>
      </c>
      <c r="J11" s="18">
        <v>3288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.75">
      <c r="A12" s="16" t="s">
        <v>126</v>
      </c>
      <c r="B12" s="18">
        <v>192000</v>
      </c>
      <c r="C12" s="75"/>
      <c r="D12" s="18"/>
      <c r="E12" s="75" t="s">
        <v>346</v>
      </c>
      <c r="F12" s="18">
        <v>67700</v>
      </c>
      <c r="G12" s="18">
        <f>B12+D12-F12</f>
        <v>124300</v>
      </c>
      <c r="H12" s="18">
        <f>G12-I12</f>
        <v>115300</v>
      </c>
      <c r="I12" s="18">
        <f>J12</f>
        <v>9000</v>
      </c>
      <c r="J12" s="18">
        <f>49500-40500</f>
        <v>9000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.75">
      <c r="A13" s="16" t="s">
        <v>127</v>
      </c>
      <c r="B13" s="18"/>
      <c r="C13" s="75"/>
      <c r="D13" s="18"/>
      <c r="E13" s="75"/>
      <c r="F13" s="18"/>
      <c r="G13" s="18"/>
      <c r="H13" s="18"/>
      <c r="I13" s="18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>
      <c r="A14" s="16" t="s">
        <v>128</v>
      </c>
      <c r="B14" s="18">
        <v>30000</v>
      </c>
      <c r="C14" s="75"/>
      <c r="D14" s="18"/>
      <c r="E14" s="75"/>
      <c r="F14" s="18"/>
      <c r="G14" s="18">
        <f>B14+D14-F14</f>
        <v>30000</v>
      </c>
      <c r="H14" s="18">
        <f>G14-I14</f>
        <v>4074.2400000000016</v>
      </c>
      <c r="I14" s="18">
        <f>J14</f>
        <v>25925.759999999998</v>
      </c>
      <c r="J14" s="18">
        <v>25925.759999999998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.75">
      <c r="A15" s="61" t="s">
        <v>129</v>
      </c>
      <c r="B15" s="18"/>
      <c r="C15" s="75"/>
      <c r="D15" s="18"/>
      <c r="E15" s="75"/>
      <c r="F15" s="18"/>
      <c r="G15" s="18">
        <f>B15+D15-F15</f>
        <v>0</v>
      </c>
      <c r="H15" s="18"/>
      <c r="I15" s="18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>
      <c r="A16" s="16" t="s">
        <v>130</v>
      </c>
      <c r="B16" s="18">
        <v>800000</v>
      </c>
      <c r="C16" s="75"/>
      <c r="D16" s="18"/>
      <c r="E16" s="75" t="s">
        <v>366</v>
      </c>
      <c r="F16" s="18">
        <f>200000+260000</f>
        <v>460000</v>
      </c>
      <c r="G16" s="18">
        <f>B16+D16-F16</f>
        <v>340000</v>
      </c>
      <c r="H16" s="18">
        <f>G16-I16</f>
        <v>303620</v>
      </c>
      <c r="I16" s="18">
        <f>J16</f>
        <v>36380</v>
      </c>
      <c r="J16" s="18">
        <v>36380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.75">
      <c r="A17" s="31"/>
      <c r="B17" s="32">
        <f>SUM(B8:B16)</f>
        <v>1633000</v>
      </c>
      <c r="C17" s="77"/>
      <c r="D17" s="32">
        <f>SUM(D8:D16)</f>
        <v>8127.2</v>
      </c>
      <c r="E17" s="77"/>
      <c r="F17" s="32">
        <f>SUM(F8:F16)</f>
        <v>527700</v>
      </c>
      <c r="G17" s="32">
        <f>SUM(G8:G16)</f>
        <v>1113427.2</v>
      </c>
      <c r="H17" s="32">
        <f t="shared" ref="H17:J17" si="0">SUM(H8:H16)</f>
        <v>439615.24</v>
      </c>
      <c r="I17" s="32">
        <f t="shared" si="0"/>
        <v>673811.96</v>
      </c>
      <c r="J17" s="32">
        <f t="shared" si="0"/>
        <v>673811.96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.75">
      <c r="A18" s="35" t="s">
        <v>131</v>
      </c>
      <c r="B18" s="18"/>
      <c r="C18" s="75"/>
      <c r="D18" s="18"/>
      <c r="E18" s="75"/>
      <c r="F18" s="18"/>
      <c r="G18" s="18">
        <f t="shared" ref="G18:G19" si="1">B18+D18-F18</f>
        <v>0</v>
      </c>
      <c r="H18" s="18"/>
      <c r="I18" s="18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.75">
      <c r="A19" s="16" t="s">
        <v>132</v>
      </c>
      <c r="B19" s="18">
        <v>155200</v>
      </c>
      <c r="C19" s="75"/>
      <c r="D19" s="18"/>
      <c r="E19" s="75"/>
      <c r="F19" s="18"/>
      <c r="G19" s="18">
        <f t="shared" si="1"/>
        <v>155200</v>
      </c>
      <c r="H19" s="18">
        <f>G19-I19</f>
        <v>0</v>
      </c>
      <c r="I19" s="18">
        <f>J19</f>
        <v>155200</v>
      </c>
      <c r="J19" s="18">
        <v>155200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.75">
      <c r="A20" s="16" t="s">
        <v>344</v>
      </c>
      <c r="B20" s="18"/>
      <c r="C20" s="75" t="s">
        <v>334</v>
      </c>
      <c r="D20" s="18">
        <v>30000</v>
      </c>
      <c r="E20" s="75"/>
      <c r="F20" s="18"/>
      <c r="G20" s="18">
        <f>B20+D20-F20</f>
        <v>30000</v>
      </c>
      <c r="H20" s="18">
        <f>G20-I20</f>
        <v>0</v>
      </c>
      <c r="I20" s="18">
        <f>J20</f>
        <v>30000</v>
      </c>
      <c r="J20" s="18">
        <v>30000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.75">
      <c r="A21" s="20"/>
      <c r="B21" s="21">
        <f>SUM(B19:B20)</f>
        <v>155200</v>
      </c>
      <c r="C21" s="78"/>
      <c r="D21" s="21">
        <f>SUM(D19:D20)</f>
        <v>30000</v>
      </c>
      <c r="E21" s="78"/>
      <c r="F21" s="21">
        <f>SUM(F19:F20)</f>
        <v>0</v>
      </c>
      <c r="G21" s="21">
        <f>SUM(G19:G20)</f>
        <v>185200</v>
      </c>
      <c r="H21" s="21">
        <f t="shared" ref="H21:J21" si="2">SUM(H19:H20)</f>
        <v>0</v>
      </c>
      <c r="I21" s="21">
        <f t="shared" si="2"/>
        <v>185200</v>
      </c>
      <c r="J21" s="21">
        <f t="shared" si="2"/>
        <v>185200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.75">
      <c r="A22" s="22" t="s">
        <v>133</v>
      </c>
      <c r="B22" s="23">
        <f>B17+B21</f>
        <v>1788200</v>
      </c>
      <c r="C22" s="85"/>
      <c r="D22" s="23">
        <f>D17+D21</f>
        <v>38127.199999999997</v>
      </c>
      <c r="E22" s="85"/>
      <c r="F22" s="23">
        <f>F17+F21</f>
        <v>527700</v>
      </c>
      <c r="G22" s="23">
        <f>G17+G21</f>
        <v>1298627.2</v>
      </c>
      <c r="H22" s="23">
        <f t="shared" ref="H22:J22" si="3">H17+H21</f>
        <v>439615.24</v>
      </c>
      <c r="I22" s="23">
        <f t="shared" si="3"/>
        <v>859011.96</v>
      </c>
      <c r="J22" s="23">
        <f t="shared" si="3"/>
        <v>859011.96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.75">
      <c r="A23" s="16"/>
      <c r="B23" s="18"/>
      <c r="C23" s="75"/>
      <c r="D23" s="18"/>
      <c r="E23" s="18"/>
      <c r="F23" s="18"/>
      <c r="G23" s="18"/>
      <c r="H23" s="18"/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.75">
      <c r="A24" s="16"/>
      <c r="B24" s="18"/>
      <c r="C24" s="18"/>
      <c r="D24" s="18"/>
      <c r="E24" s="18"/>
      <c r="F24" s="18"/>
      <c r="G24" s="18"/>
      <c r="H24" s="18"/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.75">
      <c r="A25" s="16"/>
      <c r="B25" s="18"/>
      <c r="C25" s="18"/>
      <c r="D25" s="18"/>
      <c r="E25" s="18"/>
      <c r="F25" s="18"/>
      <c r="G25" s="18"/>
      <c r="H25" s="18"/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.75">
      <c r="A26" s="24"/>
      <c r="B26" s="18"/>
      <c r="C26" s="18"/>
      <c r="D26" s="18"/>
      <c r="E26" s="18"/>
      <c r="F26" s="18"/>
      <c r="G26" s="18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.75">
      <c r="A27" s="16"/>
      <c r="B27" s="18"/>
      <c r="C27" s="18"/>
      <c r="D27" s="18"/>
      <c r="E27" s="18"/>
      <c r="F27" s="18"/>
      <c r="G27" s="18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.7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.75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.75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</sheetData>
  <mergeCells count="3">
    <mergeCell ref="A1:J1"/>
    <mergeCell ref="A2:J2"/>
    <mergeCell ref="A3:J3"/>
  </mergeCells>
  <pageMargins left="0.45" right="0.19" top="0.31" bottom="0.25" header="0.3" footer="0.25"/>
  <pageSetup paperSize="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11"/>
  <sheetViews>
    <sheetView tabSelected="1" view="pageBreakPreview" topLeftCell="A4" zoomScaleSheetLayoutView="100" workbookViewId="0">
      <selection activeCell="B53" sqref="B53"/>
    </sheetView>
  </sheetViews>
  <sheetFormatPr defaultRowHeight="14.25"/>
  <cols>
    <col min="1" max="1" width="24.75" customWidth="1"/>
    <col min="2" max="2" width="13" customWidth="1"/>
    <col min="3" max="3" width="12.375" customWidth="1"/>
    <col min="4" max="4" width="12.125" customWidth="1"/>
    <col min="5" max="5" width="9.625" bestFit="1" customWidth="1"/>
    <col min="6" max="6" width="11" customWidth="1"/>
    <col min="7" max="7" width="11.875" customWidth="1"/>
    <col min="8" max="8" width="6.125" customWidth="1"/>
    <col min="9" max="9" width="11.25" customWidth="1"/>
    <col min="10" max="11" width="9.625" bestFit="1" customWidth="1"/>
    <col min="12" max="12" width="10.875" bestFit="1" customWidth="1"/>
    <col min="13" max="13" width="11.75" customWidth="1"/>
    <col min="14" max="14" width="11.5" customWidth="1"/>
  </cols>
  <sheetData>
    <row r="1" spans="1:15" ht="18.75">
      <c r="A1" s="147" t="s">
        <v>396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"/>
    </row>
    <row r="2" spans="1:15" ht="18.75">
      <c r="A2" s="147" t="s">
        <v>397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"/>
    </row>
    <row r="3" spans="1:15" ht="18.75">
      <c r="A3" s="147" t="s">
        <v>398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"/>
    </row>
    <row r="4" spans="1:15" ht="18.75">
      <c r="A4" s="12" t="s">
        <v>12</v>
      </c>
      <c r="B4" s="12" t="s">
        <v>3</v>
      </c>
      <c r="C4" s="12" t="s">
        <v>410</v>
      </c>
      <c r="D4" s="12" t="s">
        <v>10</v>
      </c>
      <c r="E4" s="12" t="s">
        <v>411</v>
      </c>
      <c r="F4" s="12" t="s">
        <v>413</v>
      </c>
      <c r="G4" s="12" t="s">
        <v>414</v>
      </c>
      <c r="H4" s="107" t="s">
        <v>415</v>
      </c>
      <c r="I4" s="12" t="s">
        <v>417</v>
      </c>
      <c r="J4" s="12" t="s">
        <v>419</v>
      </c>
      <c r="K4" s="12" t="s">
        <v>421</v>
      </c>
      <c r="L4" s="12" t="s">
        <v>422</v>
      </c>
      <c r="M4" s="12" t="s">
        <v>423</v>
      </c>
      <c r="N4" s="99" t="s">
        <v>120</v>
      </c>
      <c r="O4" s="1"/>
    </row>
    <row r="5" spans="1:15" ht="18.75">
      <c r="A5" s="14"/>
      <c r="B5" s="14"/>
      <c r="C5" s="14"/>
      <c r="D5" s="14"/>
      <c r="E5" s="9" t="s">
        <v>412</v>
      </c>
      <c r="F5" s="9"/>
      <c r="G5" s="9"/>
      <c r="H5" s="108" t="s">
        <v>416</v>
      </c>
      <c r="I5" s="9" t="s">
        <v>418</v>
      </c>
      <c r="J5" s="9" t="s">
        <v>420</v>
      </c>
      <c r="K5" s="9"/>
      <c r="L5" s="9"/>
      <c r="M5" s="9"/>
      <c r="N5" s="11"/>
      <c r="O5" s="1"/>
    </row>
    <row r="6" spans="1:15" ht="18.75">
      <c r="A6" s="112" t="s">
        <v>120</v>
      </c>
      <c r="B6" s="109">
        <v>1298627.2</v>
      </c>
      <c r="C6" s="109">
        <f>N6</f>
        <v>859011.96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09">
        <f>งบกลาง!J22</f>
        <v>859011.96</v>
      </c>
      <c r="O6" s="1"/>
    </row>
    <row r="7" spans="1:15" ht="18.75">
      <c r="A7" s="113" t="s">
        <v>399</v>
      </c>
      <c r="B7" s="110">
        <v>7136616.7999999998</v>
      </c>
      <c r="C7" s="110">
        <f>SUM(D7:N7)</f>
        <v>6513518</v>
      </c>
      <c r="D7" s="110">
        <f>บริหารทั่วไป!I17</f>
        <v>4712219</v>
      </c>
      <c r="E7" s="113"/>
      <c r="F7" s="110">
        <f>การศึกษา!I9</f>
        <v>717551</v>
      </c>
      <c r="G7" s="110">
        <f>สาธารณสุข!I9</f>
        <v>528391</v>
      </c>
      <c r="H7" s="113"/>
      <c r="I7" s="110">
        <f>เคหะ!I9</f>
        <v>379137</v>
      </c>
      <c r="J7" s="113"/>
      <c r="K7" s="113"/>
      <c r="L7" s="113"/>
      <c r="M7" s="110">
        <f>เกษตร!I9</f>
        <v>176220</v>
      </c>
      <c r="N7" s="113"/>
      <c r="O7" s="1"/>
    </row>
    <row r="8" spans="1:15" ht="18.75">
      <c r="A8" s="113" t="s">
        <v>400</v>
      </c>
      <c r="B8" s="110">
        <v>126720</v>
      </c>
      <c r="C8" s="110">
        <f t="shared" ref="C8:C9" si="0">SUM(D8:N8)</f>
        <v>126720</v>
      </c>
      <c r="D8" s="110">
        <f>บริหารทั่วไป!I21</f>
        <v>126720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"/>
    </row>
    <row r="9" spans="1:15" ht="18.75">
      <c r="A9" s="113" t="s">
        <v>401</v>
      </c>
      <c r="B9" s="110">
        <v>3279896</v>
      </c>
      <c r="C9" s="110">
        <f t="shared" si="0"/>
        <v>2842005</v>
      </c>
      <c r="D9" s="110">
        <f>บริหารทั่วไป!I27</f>
        <v>825960</v>
      </c>
      <c r="E9" s="113"/>
      <c r="F9" s="110">
        <f>การศึกษา!I13</f>
        <v>277155</v>
      </c>
      <c r="G9" s="110">
        <f>สาธารณสุข!I13</f>
        <v>264810</v>
      </c>
      <c r="H9" s="113"/>
      <c r="I9" s="110">
        <f>เคหะ!I13</f>
        <v>850710</v>
      </c>
      <c r="J9" s="113"/>
      <c r="K9" s="113"/>
      <c r="L9" s="113"/>
      <c r="M9" s="110">
        <f>เกษตร!I13</f>
        <v>623370</v>
      </c>
      <c r="N9" s="113"/>
      <c r="O9" s="1"/>
    </row>
    <row r="10" spans="1:15" ht="18.75">
      <c r="A10" s="113" t="s">
        <v>402</v>
      </c>
      <c r="B10" s="110">
        <v>671780</v>
      </c>
      <c r="C10" s="110">
        <f>SUM(D10:N10)</f>
        <v>367750</v>
      </c>
      <c r="D10" s="110">
        <f>บริหารทั่วไป!I42</f>
        <v>188875</v>
      </c>
      <c r="E10" s="113"/>
      <c r="F10" s="110">
        <f>การศึกษา!I18</f>
        <v>66281</v>
      </c>
      <c r="G10" s="110">
        <f>สาธารณสุข!I17</f>
        <v>1300</v>
      </c>
      <c r="H10" s="113"/>
      <c r="I10" s="110">
        <f>เคหะ!I18</f>
        <v>78925</v>
      </c>
      <c r="J10" s="113"/>
      <c r="K10" s="113"/>
      <c r="L10" s="113"/>
      <c r="M10" s="110">
        <f>เกษตร!I18</f>
        <v>32369</v>
      </c>
      <c r="N10" s="113"/>
      <c r="O10" s="1"/>
    </row>
    <row r="11" spans="1:15" ht="18.75">
      <c r="A11" s="113" t="s">
        <v>403</v>
      </c>
      <c r="B11" s="110">
        <v>5637139</v>
      </c>
      <c r="C11" s="110">
        <f>SUM(D11:N11)</f>
        <v>4449249.78</v>
      </c>
      <c r="D11" s="110">
        <f>บริหารทั่วไป!I51+บริหารทั่วไป!I61</f>
        <v>1222465.49</v>
      </c>
      <c r="E11" s="110">
        <f>รักษาฯ!I10</f>
        <v>67600</v>
      </c>
      <c r="F11" s="110">
        <f>การศึกษา!I21+การศึกษา!I38</f>
        <v>1314467</v>
      </c>
      <c r="G11" s="110">
        <f>สาธารณสุข!I23+สาธารณสุข!I33</f>
        <v>30580</v>
      </c>
      <c r="H11" s="113"/>
      <c r="I11" s="110">
        <f>เคหะ!I35+เคหะ!I39</f>
        <v>820999</v>
      </c>
      <c r="J11" s="110">
        <f>เข็มแข็ง!I15</f>
        <v>155519.89000000001</v>
      </c>
      <c r="K11" s="110">
        <f>ศาสนา!I11</f>
        <v>519117</v>
      </c>
      <c r="L11" s="110">
        <f>พาณิชย์!I9</f>
        <v>12198.4</v>
      </c>
      <c r="M11" s="110">
        <f>เกษตร!I22+เกษตร!I37</f>
        <v>306303</v>
      </c>
      <c r="N11" s="113"/>
      <c r="O11" s="1"/>
    </row>
    <row r="12" spans="1:15" ht="18.75">
      <c r="A12" s="113" t="s">
        <v>404</v>
      </c>
      <c r="B12" s="110">
        <v>2328828</v>
      </c>
      <c r="C12" s="110">
        <f>SUM(D12:N12)</f>
        <v>1901449.48</v>
      </c>
      <c r="D12" s="110">
        <f>บริหารทั่วไป!I72+บริหารทั่วไป!I75</f>
        <v>439069.78</v>
      </c>
      <c r="E12" s="113"/>
      <c r="F12" s="110">
        <f>การศึกษา!I47</f>
        <v>924006.2</v>
      </c>
      <c r="G12" s="110">
        <f>สาธารณสุข!I36+สาธารณสุข!I39</f>
        <v>125859.5</v>
      </c>
      <c r="H12" s="113"/>
      <c r="I12" s="110">
        <f>เคหะ!I42</f>
        <v>107235</v>
      </c>
      <c r="J12" s="113"/>
      <c r="K12" s="110">
        <f>ศาสนา!I14</f>
        <v>14560</v>
      </c>
      <c r="L12" s="110">
        <f>พาณิชย์!I14</f>
        <v>287019</v>
      </c>
      <c r="M12" s="110">
        <f>เกษตร!I40+เกษตร!I43</f>
        <v>3700</v>
      </c>
      <c r="N12" s="113"/>
      <c r="O12" s="1"/>
    </row>
    <row r="13" spans="1:15" ht="18.75">
      <c r="A13" s="113" t="s">
        <v>405</v>
      </c>
      <c r="B13" s="110">
        <v>970500</v>
      </c>
      <c r="C13" s="110">
        <f t="shared" ref="C13:C16" si="1">SUM(D13:N13)</f>
        <v>894781.42</v>
      </c>
      <c r="D13" s="110">
        <f>บริหารทั่วไป!I81</f>
        <v>301325.01</v>
      </c>
      <c r="E13" s="113"/>
      <c r="F13" s="110">
        <f>การศึกษา!I52</f>
        <v>29420.73</v>
      </c>
      <c r="G13" s="113"/>
      <c r="H13" s="113"/>
      <c r="I13" s="113"/>
      <c r="J13" s="113"/>
      <c r="K13" s="113"/>
      <c r="L13" s="110">
        <f>พาณิชย์!I17</f>
        <v>564035.68000000005</v>
      </c>
      <c r="M13" s="113"/>
      <c r="N13" s="113"/>
      <c r="O13" s="1"/>
    </row>
    <row r="14" spans="1:15" ht="18.75">
      <c r="A14" s="113" t="s">
        <v>406</v>
      </c>
      <c r="B14" s="110">
        <v>2522653</v>
      </c>
      <c r="C14" s="110">
        <f t="shared" si="1"/>
        <v>2058750.6099999999</v>
      </c>
      <c r="D14" s="113"/>
      <c r="E14" s="113"/>
      <c r="F14" s="110">
        <f>การศึกษา!I69</f>
        <v>767000</v>
      </c>
      <c r="G14" s="110">
        <f>สาธารณสุข!I49</f>
        <v>90000</v>
      </c>
      <c r="H14" s="113"/>
      <c r="I14" s="110">
        <f>เคหะ!I47</f>
        <v>151750.60999999999</v>
      </c>
      <c r="J14" s="110">
        <f>เข็มแข็ง!I22</f>
        <v>20000</v>
      </c>
      <c r="K14" s="110">
        <f>ศาสนา!I21</f>
        <v>30000</v>
      </c>
      <c r="L14" s="110">
        <f>พาณิชย์!I21</f>
        <v>1000000</v>
      </c>
      <c r="M14" s="113"/>
      <c r="N14" s="113"/>
      <c r="O14" s="1"/>
    </row>
    <row r="15" spans="1:15" ht="18.75">
      <c r="A15" s="113" t="s">
        <v>407</v>
      </c>
      <c r="B15" s="110">
        <v>578890</v>
      </c>
      <c r="C15" s="110">
        <f t="shared" si="1"/>
        <v>361950</v>
      </c>
      <c r="D15" s="110">
        <f>บริหารทั่วไป!I105+บริหารทั่วไป!I114</f>
        <v>322860</v>
      </c>
      <c r="E15" s="113"/>
      <c r="F15" s="110">
        <f>การศึกษา!I86</f>
        <v>32790</v>
      </c>
      <c r="G15" s="113"/>
      <c r="H15" s="113"/>
      <c r="I15" s="110">
        <f>เคหะ!I53</f>
        <v>6300</v>
      </c>
      <c r="J15" s="113"/>
      <c r="K15" s="113"/>
      <c r="L15" s="113"/>
      <c r="M15" s="113"/>
      <c r="N15" s="113"/>
      <c r="O15" s="1"/>
    </row>
    <row r="16" spans="1:15" ht="18.75">
      <c r="A16" s="114" t="s">
        <v>408</v>
      </c>
      <c r="B16" s="111">
        <v>6758350</v>
      </c>
      <c r="C16" s="111">
        <f t="shared" si="1"/>
        <v>3697463.59</v>
      </c>
      <c r="D16" s="111">
        <f>บริหารทั่วไป!I118</f>
        <v>135000</v>
      </c>
      <c r="E16" s="111">
        <f>รักษาฯ!I17</f>
        <v>690000</v>
      </c>
      <c r="F16" s="111">
        <f>การศึกษา!I97</f>
        <v>368000</v>
      </c>
      <c r="G16" s="114"/>
      <c r="H16" s="114"/>
      <c r="I16" s="111">
        <f>เคหะ!I81+เคหะ!I87</f>
        <v>1799963.5899999999</v>
      </c>
      <c r="J16" s="114"/>
      <c r="K16" s="114"/>
      <c r="L16" s="111">
        <f>พาณิชย์!I37+พาณิชย์!I41</f>
        <v>704500</v>
      </c>
      <c r="M16" s="114"/>
      <c r="N16" s="114"/>
      <c r="O16" s="1"/>
    </row>
    <row r="17" spans="1:15" ht="19.5" thickBot="1">
      <c r="A17" s="116" t="s">
        <v>409</v>
      </c>
      <c r="B17" s="141">
        <f t="shared" ref="B17:N17" si="2">SUM(B6:B16)</f>
        <v>31310000</v>
      </c>
      <c r="C17" s="141">
        <f t="shared" si="2"/>
        <v>24072649.840000004</v>
      </c>
      <c r="D17" s="141">
        <f t="shared" si="2"/>
        <v>8274494.2800000003</v>
      </c>
      <c r="E17" s="141">
        <f t="shared" si="2"/>
        <v>757600</v>
      </c>
      <c r="F17" s="141">
        <f t="shared" si="2"/>
        <v>4496670.93</v>
      </c>
      <c r="G17" s="141">
        <f t="shared" si="2"/>
        <v>1040940.5</v>
      </c>
      <c r="H17" s="141">
        <f t="shared" si="2"/>
        <v>0</v>
      </c>
      <c r="I17" s="141">
        <f t="shared" si="2"/>
        <v>4195020.1999999993</v>
      </c>
      <c r="J17" s="141">
        <f t="shared" si="2"/>
        <v>175519.89</v>
      </c>
      <c r="K17" s="141">
        <f t="shared" si="2"/>
        <v>563677</v>
      </c>
      <c r="L17" s="141">
        <f t="shared" si="2"/>
        <v>2567753.08</v>
      </c>
      <c r="M17" s="141">
        <f t="shared" si="2"/>
        <v>1141962</v>
      </c>
      <c r="N17" s="141">
        <f t="shared" si="2"/>
        <v>859011.96</v>
      </c>
      <c r="O17" s="1"/>
    </row>
    <row r="18" spans="1:15" ht="19.5" thickTop="1">
      <c r="A18" s="117" t="s">
        <v>429</v>
      </c>
      <c r="B18" s="14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"/>
    </row>
    <row r="19" spans="1:15" ht="18.75">
      <c r="A19" s="113" t="s">
        <v>120</v>
      </c>
      <c r="B19" s="113"/>
      <c r="C19" s="122">
        <f>SUM(D19:N19)</f>
        <v>12069677.640000001</v>
      </c>
      <c r="D19" s="122">
        <v>12069677.640000001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"/>
    </row>
    <row r="20" spans="1:15" ht="18.75">
      <c r="A20" s="113" t="s">
        <v>399</v>
      </c>
      <c r="B20" s="113"/>
      <c r="C20" s="122">
        <f t="shared" ref="C20:C26" si="3">SUM(D20:N20)</f>
        <v>175640</v>
      </c>
      <c r="D20" s="122"/>
      <c r="E20" s="122"/>
      <c r="F20" s="122">
        <v>175640</v>
      </c>
      <c r="G20" s="122"/>
      <c r="H20" s="122"/>
      <c r="I20" s="122"/>
      <c r="J20" s="122"/>
      <c r="K20" s="122"/>
      <c r="L20" s="122"/>
      <c r="M20" s="122"/>
      <c r="N20" s="122"/>
      <c r="O20" s="1"/>
    </row>
    <row r="21" spans="1:15" ht="18.75">
      <c r="A21" s="113" t="s">
        <v>400</v>
      </c>
      <c r="B21" s="113"/>
      <c r="C21" s="122">
        <f t="shared" si="3"/>
        <v>166080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>
        <v>166080</v>
      </c>
      <c r="N21" s="122"/>
      <c r="O21" s="1"/>
    </row>
    <row r="22" spans="1:15" ht="18.75">
      <c r="A22" s="113" t="s">
        <v>401</v>
      </c>
      <c r="B22" s="113"/>
      <c r="C22" s="122">
        <f t="shared" si="3"/>
        <v>493980</v>
      </c>
      <c r="D22" s="122"/>
      <c r="E22" s="122"/>
      <c r="F22" s="122">
        <v>493980</v>
      </c>
      <c r="G22" s="122"/>
      <c r="H22" s="122"/>
      <c r="I22" s="122"/>
      <c r="J22" s="122"/>
      <c r="K22" s="122"/>
      <c r="L22" s="122"/>
      <c r="M22" s="122"/>
      <c r="N22" s="122"/>
      <c r="O22" s="1"/>
    </row>
    <row r="23" spans="1:15" ht="18.75">
      <c r="A23" s="113" t="s">
        <v>402</v>
      </c>
      <c r="B23" s="113"/>
      <c r="C23" s="122">
        <f t="shared" si="3"/>
        <v>7246</v>
      </c>
      <c r="D23" s="122"/>
      <c r="E23" s="122"/>
      <c r="F23" s="122">
        <v>1300</v>
      </c>
      <c r="G23" s="122"/>
      <c r="H23" s="122"/>
      <c r="I23" s="122"/>
      <c r="J23" s="122"/>
      <c r="K23" s="122"/>
      <c r="L23" s="122"/>
      <c r="M23" s="122">
        <v>5946</v>
      </c>
      <c r="N23" s="122"/>
      <c r="O23" s="1"/>
    </row>
    <row r="24" spans="1:15" ht="18.75">
      <c r="A24" s="113" t="s">
        <v>403</v>
      </c>
      <c r="B24" s="113"/>
      <c r="C24" s="122">
        <f t="shared" si="3"/>
        <v>0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"/>
    </row>
    <row r="25" spans="1:15" ht="18.75">
      <c r="A25" s="113" t="s">
        <v>404</v>
      </c>
      <c r="B25" s="113"/>
      <c r="C25" s="122">
        <f t="shared" si="3"/>
        <v>74400</v>
      </c>
      <c r="D25" s="122"/>
      <c r="E25" s="122"/>
      <c r="F25" s="122">
        <v>74400</v>
      </c>
      <c r="G25" s="122"/>
      <c r="H25" s="122"/>
      <c r="I25" s="122"/>
      <c r="J25" s="122"/>
      <c r="K25" s="122"/>
      <c r="L25" s="122"/>
      <c r="M25" s="122"/>
      <c r="N25" s="122"/>
      <c r="O25" s="1"/>
    </row>
    <row r="26" spans="1:15" ht="18.75">
      <c r="A26" s="113" t="s">
        <v>405</v>
      </c>
      <c r="B26" s="113"/>
      <c r="C26" s="122">
        <f t="shared" si="3"/>
        <v>1274869.73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>
        <v>1274869.73</v>
      </c>
      <c r="N26" s="122"/>
      <c r="O26" s="1"/>
    </row>
    <row r="27" spans="1:15" ht="18.75">
      <c r="A27" s="118" t="s">
        <v>426</v>
      </c>
      <c r="B27" s="113"/>
      <c r="C27" s="123">
        <f>SUM(D27:N27)</f>
        <v>14261893.370000001</v>
      </c>
      <c r="D27" s="123">
        <f>SUM(D19:D26)</f>
        <v>12069677.640000001</v>
      </c>
      <c r="E27" s="123">
        <f t="shared" ref="E27:N27" si="4">SUM(E19:E26)</f>
        <v>0</v>
      </c>
      <c r="F27" s="123">
        <f t="shared" si="4"/>
        <v>745320</v>
      </c>
      <c r="G27" s="123">
        <f t="shared" si="4"/>
        <v>0</v>
      </c>
      <c r="H27" s="123">
        <f t="shared" si="4"/>
        <v>0</v>
      </c>
      <c r="I27" s="123">
        <f t="shared" si="4"/>
        <v>0</v>
      </c>
      <c r="J27" s="123">
        <f t="shared" si="4"/>
        <v>0</v>
      </c>
      <c r="K27" s="123">
        <f t="shared" si="4"/>
        <v>0</v>
      </c>
      <c r="L27" s="123">
        <f t="shared" si="4"/>
        <v>0</v>
      </c>
      <c r="M27" s="123">
        <f>SUM(M19:M26)</f>
        <v>1446895.73</v>
      </c>
      <c r="N27" s="123">
        <f t="shared" si="4"/>
        <v>0</v>
      </c>
      <c r="O27" s="1"/>
    </row>
    <row r="28" spans="1:15" ht="18.75">
      <c r="A28" s="119" t="s">
        <v>427</v>
      </c>
      <c r="B28" s="113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"/>
    </row>
    <row r="29" spans="1:15" ht="18.75">
      <c r="A29" s="113" t="s">
        <v>403</v>
      </c>
      <c r="B29" s="113"/>
      <c r="C29" s="122">
        <f>SUM(D29:N29)</f>
        <v>17000</v>
      </c>
      <c r="D29" s="122"/>
      <c r="E29" s="122"/>
      <c r="F29" s="122">
        <v>17000</v>
      </c>
      <c r="G29" s="122"/>
      <c r="H29" s="122"/>
      <c r="I29" s="122"/>
      <c r="J29" s="122"/>
      <c r="K29" s="122"/>
      <c r="L29" s="122"/>
      <c r="M29" s="122"/>
      <c r="N29" s="122"/>
      <c r="O29" s="1"/>
    </row>
    <row r="30" spans="1:15" ht="18.75">
      <c r="A30" s="118" t="s">
        <v>428</v>
      </c>
      <c r="B30" s="113"/>
      <c r="C30" s="124">
        <f>SUM(D30:N30)</f>
        <v>17000</v>
      </c>
      <c r="D30" s="125"/>
      <c r="E30" s="125"/>
      <c r="F30" s="124">
        <f>F29</f>
        <v>17000</v>
      </c>
      <c r="G30" s="125"/>
      <c r="H30" s="125"/>
      <c r="I30" s="125"/>
      <c r="J30" s="125"/>
      <c r="K30" s="125"/>
      <c r="L30" s="125"/>
      <c r="M30" s="125"/>
      <c r="N30" s="125"/>
      <c r="O30" s="1"/>
    </row>
    <row r="31" spans="1:15" ht="19.5" thickBot="1">
      <c r="A31" s="120" t="s">
        <v>430</v>
      </c>
      <c r="B31" s="121"/>
      <c r="C31" s="115">
        <f>C17+C27+C30</f>
        <v>38351543.210000008</v>
      </c>
      <c r="D31" s="115">
        <f t="shared" ref="D31:L31" si="5">D17+D27+D30</f>
        <v>20344171.920000002</v>
      </c>
      <c r="E31" s="115">
        <f t="shared" si="5"/>
        <v>757600</v>
      </c>
      <c r="F31" s="115">
        <f t="shared" si="5"/>
        <v>5258990.93</v>
      </c>
      <c r="G31" s="115">
        <f t="shared" si="5"/>
        <v>1040940.5</v>
      </c>
      <c r="H31" s="115">
        <f t="shared" si="5"/>
        <v>0</v>
      </c>
      <c r="I31" s="115">
        <f t="shared" si="5"/>
        <v>4195020.1999999993</v>
      </c>
      <c r="J31" s="115">
        <f t="shared" si="5"/>
        <v>175519.89</v>
      </c>
      <c r="K31" s="115">
        <f t="shared" si="5"/>
        <v>563677</v>
      </c>
      <c r="L31" s="115">
        <f t="shared" si="5"/>
        <v>2567753.08</v>
      </c>
      <c r="M31" s="115">
        <f>M17+M27+M30</f>
        <v>2588857.73</v>
      </c>
      <c r="N31" s="115">
        <f>N17+N27+N30</f>
        <v>859011.96</v>
      </c>
      <c r="O31" s="1"/>
    </row>
    <row r="32" spans="1:15" ht="19.5" thickTop="1">
      <c r="A32" s="12" t="s">
        <v>12</v>
      </c>
      <c r="B32" s="12" t="s">
        <v>3</v>
      </c>
      <c r="C32" s="12" t="s">
        <v>410</v>
      </c>
      <c r="D32" s="12" t="s">
        <v>10</v>
      </c>
      <c r="E32" s="12" t="s">
        <v>411</v>
      </c>
      <c r="F32" s="12" t="s">
        <v>413</v>
      </c>
      <c r="G32" s="12" t="s">
        <v>414</v>
      </c>
      <c r="H32" s="107" t="s">
        <v>415</v>
      </c>
      <c r="I32" s="12" t="s">
        <v>417</v>
      </c>
      <c r="J32" s="12" t="s">
        <v>419</v>
      </c>
      <c r="K32" s="12" t="s">
        <v>421</v>
      </c>
      <c r="L32" s="12" t="s">
        <v>422</v>
      </c>
      <c r="M32" s="12" t="s">
        <v>423</v>
      </c>
      <c r="N32" s="106" t="s">
        <v>120</v>
      </c>
      <c r="O32" s="1"/>
    </row>
    <row r="33" spans="1:15" ht="18.75">
      <c r="A33" s="14"/>
      <c r="B33" s="14"/>
      <c r="C33" s="14"/>
      <c r="D33" s="14"/>
      <c r="E33" s="9" t="s">
        <v>412</v>
      </c>
      <c r="F33" s="9"/>
      <c r="G33" s="9"/>
      <c r="H33" s="108" t="s">
        <v>416</v>
      </c>
      <c r="I33" s="9" t="s">
        <v>418</v>
      </c>
      <c r="J33" s="9" t="s">
        <v>420</v>
      </c>
      <c r="K33" s="9"/>
      <c r="L33" s="9"/>
      <c r="M33" s="9"/>
      <c r="N33" s="11"/>
      <c r="O33" s="1"/>
    </row>
    <row r="34" spans="1:15" ht="18.75">
      <c r="A34" s="126" t="s">
        <v>431</v>
      </c>
      <c r="B34" s="109"/>
      <c r="C34" s="109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09"/>
      <c r="O34" s="1"/>
    </row>
    <row r="35" spans="1:15" ht="18.75">
      <c r="A35" s="113" t="s">
        <v>432</v>
      </c>
      <c r="B35" s="110">
        <v>340000</v>
      </c>
      <c r="C35" s="110">
        <v>284034.15000000002</v>
      </c>
      <c r="D35" s="110"/>
      <c r="E35" s="113"/>
      <c r="F35" s="110"/>
      <c r="G35" s="110"/>
      <c r="H35" s="113"/>
      <c r="I35" s="110"/>
      <c r="J35" s="113"/>
      <c r="K35" s="113"/>
      <c r="L35" s="113"/>
      <c r="M35" s="110"/>
      <c r="N35" s="113"/>
      <c r="O35" s="1"/>
    </row>
    <row r="36" spans="1:15" ht="18.75">
      <c r="A36" s="113" t="s">
        <v>433</v>
      </c>
      <c r="B36" s="110">
        <v>134000</v>
      </c>
      <c r="C36" s="110">
        <v>147960</v>
      </c>
      <c r="D36" s="110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"/>
    </row>
    <row r="37" spans="1:15" ht="18.75">
      <c r="A37" s="113" t="s">
        <v>440</v>
      </c>
      <c r="B37" s="110">
        <v>161000</v>
      </c>
      <c r="C37" s="110">
        <v>110399.07</v>
      </c>
      <c r="D37" s="110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"/>
    </row>
    <row r="38" spans="1:15" ht="18.75">
      <c r="A38" s="113" t="s">
        <v>434</v>
      </c>
      <c r="B38" s="110">
        <v>800000</v>
      </c>
      <c r="C38" s="110">
        <v>991904</v>
      </c>
      <c r="D38" s="110"/>
      <c r="E38" s="113"/>
      <c r="F38" s="110"/>
      <c r="G38" s="110"/>
      <c r="H38" s="113"/>
      <c r="I38" s="110"/>
      <c r="J38" s="113"/>
      <c r="K38" s="113"/>
      <c r="L38" s="113"/>
      <c r="M38" s="110"/>
      <c r="N38" s="113"/>
      <c r="O38" s="1"/>
    </row>
    <row r="39" spans="1:15" ht="18.75">
      <c r="A39" s="113" t="s">
        <v>435</v>
      </c>
      <c r="B39" s="110">
        <v>270000</v>
      </c>
      <c r="C39" s="110">
        <v>227327</v>
      </c>
      <c r="D39" s="110"/>
      <c r="E39" s="113"/>
      <c r="F39" s="110"/>
      <c r="G39" s="110"/>
      <c r="H39" s="113"/>
      <c r="I39" s="110"/>
      <c r="J39" s="113"/>
      <c r="K39" s="113"/>
      <c r="L39" s="113"/>
      <c r="M39" s="110"/>
      <c r="N39" s="113"/>
      <c r="O39" s="1"/>
    </row>
    <row r="40" spans="1:15" ht="18.75">
      <c r="A40" s="113" t="s">
        <v>436</v>
      </c>
      <c r="B40" s="110">
        <v>15701360</v>
      </c>
      <c r="C40" s="110">
        <v>13638741.720000001</v>
      </c>
      <c r="D40" s="110"/>
      <c r="E40" s="110"/>
      <c r="F40" s="110"/>
      <c r="G40" s="110"/>
      <c r="H40" s="113"/>
      <c r="I40" s="110"/>
      <c r="J40" s="110"/>
      <c r="K40" s="110"/>
      <c r="L40" s="110"/>
      <c r="M40" s="110"/>
      <c r="N40" s="113"/>
      <c r="O40" s="1"/>
    </row>
    <row r="41" spans="1:15" ht="18.75">
      <c r="A41" s="113" t="s">
        <v>437</v>
      </c>
      <c r="B41" s="111">
        <v>13903640</v>
      </c>
      <c r="C41" s="111">
        <v>11473743</v>
      </c>
      <c r="D41" s="110"/>
      <c r="E41" s="113"/>
      <c r="F41" s="110"/>
      <c r="G41" s="110"/>
      <c r="H41" s="113"/>
      <c r="I41" s="110"/>
      <c r="J41" s="113"/>
      <c r="K41" s="110"/>
      <c r="L41" s="110"/>
      <c r="M41" s="110"/>
      <c r="N41" s="113"/>
      <c r="O41" s="1"/>
    </row>
    <row r="42" spans="1:15" ht="19.5" thickBot="1">
      <c r="A42" s="127" t="s">
        <v>438</v>
      </c>
      <c r="B42" s="141">
        <f>SUM(B35:B41)</f>
        <v>31310000</v>
      </c>
      <c r="C42" s="141">
        <f>SUM(C35:C41)</f>
        <v>26874108.940000001</v>
      </c>
      <c r="D42" s="110"/>
      <c r="E42" s="113"/>
      <c r="F42" s="110"/>
      <c r="G42" s="113"/>
      <c r="H42" s="113"/>
      <c r="I42" s="113"/>
      <c r="J42" s="113"/>
      <c r="K42" s="113"/>
      <c r="L42" s="110"/>
      <c r="M42" s="113"/>
      <c r="N42" s="113"/>
      <c r="O42" s="1"/>
    </row>
    <row r="43" spans="1:15" ht="19.5" thickTop="1">
      <c r="A43" s="140" t="s">
        <v>442</v>
      </c>
      <c r="B43" s="143"/>
      <c r="C43" s="143">
        <v>530326</v>
      </c>
      <c r="D43" s="110"/>
      <c r="E43" s="113"/>
      <c r="F43" s="110"/>
      <c r="G43" s="113"/>
      <c r="H43" s="113"/>
      <c r="I43" s="113"/>
      <c r="J43" s="113"/>
      <c r="K43" s="113"/>
      <c r="L43" s="110"/>
      <c r="M43" s="113"/>
      <c r="N43" s="113"/>
      <c r="O43" s="1"/>
    </row>
    <row r="44" spans="1:15" ht="18.75">
      <c r="A44" s="135" t="s">
        <v>429</v>
      </c>
      <c r="B44" s="136"/>
      <c r="C44" s="136">
        <v>14261893.369999999</v>
      </c>
      <c r="D44" s="113"/>
      <c r="E44" s="113"/>
      <c r="F44" s="110"/>
      <c r="G44" s="110"/>
      <c r="H44" s="113"/>
      <c r="I44" s="110"/>
      <c r="J44" s="110"/>
      <c r="K44" s="110"/>
      <c r="L44" s="110"/>
      <c r="M44" s="113"/>
      <c r="N44" s="113"/>
      <c r="O44" s="1"/>
    </row>
    <row r="45" spans="1:15" ht="18.75">
      <c r="A45" s="135" t="s">
        <v>427</v>
      </c>
      <c r="B45" s="137"/>
      <c r="C45" s="137">
        <v>17000</v>
      </c>
      <c r="D45" s="110"/>
      <c r="E45" s="113"/>
      <c r="F45" s="110"/>
      <c r="G45" s="113"/>
      <c r="H45" s="113"/>
      <c r="I45" s="110"/>
      <c r="J45" s="113"/>
      <c r="K45" s="113"/>
      <c r="L45" s="113"/>
      <c r="M45" s="113"/>
      <c r="N45" s="113"/>
      <c r="O45" s="1"/>
    </row>
    <row r="46" spans="1:15" ht="18.75">
      <c r="A46" s="145" t="s">
        <v>439</v>
      </c>
      <c r="B46" s="139"/>
      <c r="C46" s="142">
        <f>SUM(C42:C45)</f>
        <v>41683328.310000002</v>
      </c>
      <c r="D46" s="138"/>
      <c r="E46" s="138"/>
      <c r="F46" s="138"/>
      <c r="G46" s="121"/>
      <c r="H46" s="121"/>
      <c r="I46" s="138"/>
      <c r="J46" s="121"/>
      <c r="K46" s="121"/>
      <c r="L46" s="138"/>
      <c r="M46" s="121"/>
      <c r="N46" s="121"/>
      <c r="O46" s="1"/>
    </row>
    <row r="47" spans="1:15" ht="19.5" thickBot="1">
      <c r="A47" s="133" t="s">
        <v>441</v>
      </c>
      <c r="B47" s="130"/>
      <c r="C47" s="141">
        <f>C46-C31</f>
        <v>3331785.099999994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"/>
    </row>
    <row r="48" spans="1:15" ht="19.5" thickTop="1">
      <c r="A48" s="128"/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"/>
    </row>
    <row r="49" spans="1:15" ht="18.75">
      <c r="A49" s="129"/>
      <c r="B49" s="129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"/>
    </row>
    <row r="50" spans="1:15" ht="18.75">
      <c r="A50" s="129"/>
      <c r="B50" s="129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"/>
    </row>
    <row r="51" spans="1:15" ht="18.75">
      <c r="A51" s="129"/>
      <c r="B51" s="129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"/>
    </row>
    <row r="52" spans="1:15" ht="18.75">
      <c r="A52" s="129"/>
      <c r="B52" s="129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"/>
    </row>
    <row r="53" spans="1:15" ht="18.75">
      <c r="A53" s="129"/>
      <c r="B53" s="129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"/>
    </row>
    <row r="54" spans="1:15" ht="18.75">
      <c r="A54" s="129"/>
      <c r="B54" s="129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"/>
    </row>
    <row r="55" spans="1:15" ht="18.75">
      <c r="A55" s="129" t="s">
        <v>443</v>
      </c>
      <c r="B55" s="129"/>
      <c r="C55" s="131"/>
      <c r="D55" s="131"/>
      <c r="E55" s="131"/>
      <c r="F55" s="131" t="s">
        <v>446</v>
      </c>
      <c r="G55" s="131"/>
      <c r="H55" s="131"/>
      <c r="I55" s="131"/>
      <c r="J55" s="131"/>
      <c r="K55" s="131"/>
      <c r="L55" s="159" t="s">
        <v>446</v>
      </c>
      <c r="M55" s="159"/>
      <c r="N55" s="159"/>
      <c r="O55" s="1"/>
    </row>
    <row r="56" spans="1:15" ht="18.75">
      <c r="A56" s="129" t="s">
        <v>444</v>
      </c>
      <c r="B56" s="129"/>
      <c r="C56" s="131"/>
      <c r="D56" s="131"/>
      <c r="E56" s="131"/>
      <c r="F56" s="131" t="s">
        <v>447</v>
      </c>
      <c r="G56" s="131"/>
      <c r="H56" s="131"/>
      <c r="I56" s="131"/>
      <c r="J56" s="131"/>
      <c r="K56" s="131"/>
      <c r="L56" s="159" t="s">
        <v>447</v>
      </c>
      <c r="M56" s="159"/>
      <c r="N56" s="159"/>
      <c r="O56" s="1"/>
    </row>
    <row r="57" spans="1:15" ht="18.75">
      <c r="A57" s="129" t="s">
        <v>445</v>
      </c>
      <c r="B57" s="129"/>
      <c r="C57" s="66"/>
      <c r="D57" s="66"/>
      <c r="E57" s="66"/>
      <c r="F57" s="159" t="s">
        <v>448</v>
      </c>
      <c r="G57" s="159"/>
      <c r="H57" s="159"/>
      <c r="I57" s="66"/>
      <c r="J57" s="66"/>
      <c r="K57" s="66"/>
      <c r="L57" s="159" t="s">
        <v>449</v>
      </c>
      <c r="M57" s="159"/>
      <c r="N57" s="159"/>
      <c r="O57" s="1"/>
    </row>
    <row r="58" spans="1:15" ht="18.75">
      <c r="A58" s="132"/>
      <c r="B58" s="129"/>
      <c r="C58" s="131"/>
      <c r="D58" s="131"/>
      <c r="E58" s="131"/>
      <c r="F58" s="131"/>
      <c r="G58" s="131"/>
      <c r="H58" s="131"/>
      <c r="I58" s="131"/>
      <c r="J58" s="131"/>
      <c r="K58" s="131"/>
      <c r="L58" s="159" t="s">
        <v>450</v>
      </c>
      <c r="M58" s="159"/>
      <c r="N58" s="159"/>
      <c r="O58" s="1"/>
    </row>
    <row r="59" spans="1:15" ht="18.75">
      <c r="A59" s="129"/>
      <c r="B59" s="129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"/>
    </row>
    <row r="60" spans="1:15" ht="18.75">
      <c r="A60" s="4"/>
      <c r="B60" s="129"/>
      <c r="C60" s="66"/>
      <c r="D60" s="131"/>
      <c r="E60" s="131"/>
      <c r="F60" s="66"/>
      <c r="G60" s="131"/>
      <c r="H60" s="131"/>
      <c r="I60" s="131"/>
      <c r="J60" s="131"/>
      <c r="K60" s="131"/>
      <c r="L60" s="131"/>
      <c r="M60" s="131"/>
      <c r="N60" s="131"/>
      <c r="O60" s="1"/>
    </row>
    <row r="61" spans="1:15" ht="18.75">
      <c r="A61" s="133"/>
      <c r="B61" s="129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1"/>
    </row>
    <row r="62" spans="1:15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</sheetData>
  <mergeCells count="8">
    <mergeCell ref="L58:N58"/>
    <mergeCell ref="A1:N1"/>
    <mergeCell ref="A2:N2"/>
    <mergeCell ref="A3:N3"/>
    <mergeCell ref="F57:H57"/>
    <mergeCell ref="L57:N57"/>
    <mergeCell ref="L55:N55"/>
    <mergeCell ref="L56:N56"/>
  </mergeCells>
  <pageMargins left="0.31" right="0.19685039370078741" top="0.31496062992125984" bottom="0.23622047244094491" header="0.31496062992125984" footer="0.23622047244094491"/>
  <pageSetup paperSize="5" scale="97" orientation="landscape" horizontalDpi="4294967293" verticalDpi="0" r:id="rId1"/>
  <colBreaks count="1" manualBreakCount="1">
    <brk id="14" max="7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12</vt:i4>
      </vt:variant>
    </vt:vector>
  </HeadingPairs>
  <TitlesOfParts>
    <vt:vector size="25" baseType="lpstr">
      <vt:lpstr>สังคม</vt:lpstr>
      <vt:lpstr>รักษาฯ</vt:lpstr>
      <vt:lpstr>บริหารทั่วไป</vt:lpstr>
      <vt:lpstr>เข็มแข็ง</vt:lpstr>
      <vt:lpstr>เคหะ</vt:lpstr>
      <vt:lpstr>การศึกษา</vt:lpstr>
      <vt:lpstr>เกษตร</vt:lpstr>
      <vt:lpstr>ศาสนา</vt:lpstr>
      <vt:lpstr>พาณิชย์</vt:lpstr>
      <vt:lpstr>สาธารณสุข</vt:lpstr>
      <vt:lpstr>งบกลาง</vt:lpstr>
      <vt:lpstr>งบแสดงผล</vt:lpstr>
      <vt:lpstr>Sheet2</vt:lpstr>
      <vt:lpstr>การศึกษา!Print_Area</vt:lpstr>
      <vt:lpstr>เกษตร!Print_Area</vt:lpstr>
      <vt:lpstr>เข็มแข็ง!Print_Area</vt:lpstr>
      <vt:lpstr>เคหะ!Print_Area</vt:lpstr>
      <vt:lpstr>งบกลาง!Print_Area</vt:lpstr>
      <vt:lpstr>งบแสดงผล!Print_Area</vt:lpstr>
      <vt:lpstr>บริหารทั่วไป!Print_Area</vt:lpstr>
      <vt:lpstr>พาณิชย์!Print_Area</vt:lpstr>
      <vt:lpstr>รักษาฯ!Print_Area</vt:lpstr>
      <vt:lpstr>ศาสนา!Print_Area</vt:lpstr>
      <vt:lpstr>สังคม!Print_Area</vt:lpstr>
      <vt:lpstr>สาธารณสุข!Print_Area</vt:lpstr>
    </vt:vector>
  </TitlesOfParts>
  <Company>HATKRUAT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FINANCE01</dc:creator>
  <cp:lastModifiedBy>FINANCE01</cp:lastModifiedBy>
  <cp:lastPrinted>2012-10-18T05:09:41Z</cp:lastPrinted>
  <dcterms:created xsi:type="dcterms:W3CDTF">2012-10-09T05:38:22Z</dcterms:created>
  <dcterms:modified xsi:type="dcterms:W3CDTF">2013-05-07T05:14:43Z</dcterms:modified>
</cp:coreProperties>
</file>